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9.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3275" windowHeight="7425" tabRatio="765" activeTab="2"/>
  </bookViews>
  <sheets>
    <sheet name="Home" sheetId="1" r:id="rId1"/>
    <sheet name="Attenuators" sheetId="2" r:id="rId2"/>
    <sheet name="BPF" sheetId="3" r:id="rId3"/>
    <sheet name="Cascade" sheetId="4" r:id="rId4"/>
    <sheet name="Coils" sheetId="5" r:id="rId5"/>
    <sheet name="Coupler" sheetId="6" r:id="rId6"/>
    <sheet name="HPF" sheetId="7" r:id="rId7"/>
    <sheet name="LPF" sheetId="8" r:id="rId8"/>
    <sheet name="Mixer" sheetId="9" r:id="rId9"/>
    <sheet name="NF-NT" sheetId="10" r:id="rId10"/>
    <sheet name="Path Loss 1-Way" sheetId="11" r:id="rId11"/>
    <sheet name="Path Loss 2-Way" sheetId="12" r:id="rId12"/>
    <sheet name="Prop Time" sheetId="13" r:id="rId13"/>
    <sheet name="Radar Blind Speed" sheetId="14" r:id="rId14"/>
    <sheet name="Rectangular Cavity" sheetId="15" r:id="rId15"/>
    <sheet name="Smith Chart" sheetId="16" r:id="rId16"/>
    <sheet name="smith-chart" sheetId="17" r:id="rId17"/>
    <sheet name="VSWR-RL" sheetId="18" r:id="rId18"/>
    <sheet name="Voltage Divider" sheetId="19" r:id="rId19"/>
    <sheet name="Vrms,Vavg" sheetId="20" r:id="rId20"/>
    <sheet name="Revisions" sheetId="21" r:id="rId21"/>
  </sheets>
  <externalReferences>
    <externalReference r:id="rId24"/>
  </externalReferences>
  <definedNames>
    <definedName name="a65550">'Smith Chart'!$N:$IV</definedName>
    <definedName name="a65555">#REF!</definedName>
    <definedName name="a65560" localSheetId="11">'Path Loss 2-Way'!$J$23</definedName>
    <definedName name="a65560" localSheetId="12">'Prop Time'!$H$18</definedName>
    <definedName name="a65560" localSheetId="13">'Radar Blind Speed'!$K$18</definedName>
    <definedName name="a65560">'Path Loss 1-Way'!$J$23</definedName>
    <definedName name="a66500">'Coils'!$G$7</definedName>
    <definedName name="a66560">'Coils'!$G$7</definedName>
    <definedName name="FreqUnits">'Rectangular Cavity'!$D$27:$D$30</definedName>
    <definedName name="SizeMult">'Rectangular Cavity'!$J$27:$J$32</definedName>
    <definedName name="vi1">'Vrms,Vavg'!$22:$65536</definedName>
  </definedNames>
  <calcPr fullCalcOnLoad="1"/>
</workbook>
</file>

<file path=xl/comments11.xml><?xml version="1.0" encoding="utf-8"?>
<comments xmlns="http://schemas.openxmlformats.org/spreadsheetml/2006/main">
  <authors>
    <author>KBlattenberger</author>
  </authors>
  <commentList>
    <comment ref="G8" authorId="0">
      <text>
        <r>
          <rPr>
            <sz val="8"/>
            <rFont val="Tahoma"/>
            <family val="2"/>
          </rPr>
          <t>Use N/A for no attenuation</t>
        </r>
      </text>
    </comment>
  </commentList>
</comments>
</file>

<file path=xl/comments12.xml><?xml version="1.0" encoding="utf-8"?>
<comments xmlns="http://schemas.openxmlformats.org/spreadsheetml/2006/main">
  <authors>
    <author>KBlattenberger</author>
  </authors>
  <commentList>
    <comment ref="G8" authorId="0">
      <text>
        <r>
          <rPr>
            <sz val="8"/>
            <rFont val="Tahoma"/>
            <family val="2"/>
          </rPr>
          <t>Use N/A for no attenuation</t>
        </r>
      </text>
    </comment>
  </commentList>
</comments>
</file>

<file path=xl/comments13.xml><?xml version="1.0" encoding="utf-8"?>
<comments xmlns="http://schemas.openxmlformats.org/spreadsheetml/2006/main">
  <authors>
    <author>Kirt Blattenberger</author>
  </authors>
  <commentList>
    <comment ref="I11" authorId="0">
      <text>
        <r>
          <rPr>
            <sz val="8"/>
            <rFont val="Tahoma"/>
            <family val="2"/>
          </rPr>
          <t>This is the number of wavelengths at the specified Frequency over the specified Distance in a material with the specified Relative Dielectric constant.</t>
        </r>
      </text>
    </comment>
    <comment ref="C9" authorId="0">
      <text>
        <r>
          <rPr>
            <sz val="8"/>
            <rFont val="Tahoma"/>
            <family val="2"/>
          </rPr>
          <t>Dielectric constant of the propagation medium relative to that of air (=1).</t>
        </r>
      </text>
    </comment>
  </commentList>
</comments>
</file>

<file path=xl/comments14.xml><?xml version="1.0" encoding="utf-8"?>
<comments xmlns="http://schemas.openxmlformats.org/spreadsheetml/2006/main">
  <authors>
    <author>KBlattenberger</author>
  </authors>
  <commentList>
    <comment ref="C11" authorId="0">
      <text>
        <r>
          <rPr>
            <sz val="8"/>
            <rFont val="Tahoma"/>
            <family val="2"/>
          </rPr>
          <t>Pulse Repitition Frequency, sometimes referred to as Pulse Repitition Rate (PRR).</t>
        </r>
      </text>
    </comment>
    <comment ref="F8" authorId="0">
      <text>
        <r>
          <rPr>
            <sz val="8"/>
            <rFont val="Tahoma"/>
            <family val="2"/>
          </rPr>
          <t>This is the lowest unambiguous blind speed</t>
        </r>
      </text>
    </comment>
  </commentList>
</comments>
</file>

<file path=xl/comments17.xml><?xml version="1.0" encoding="utf-8"?>
<comments xmlns="http://schemas.openxmlformats.org/spreadsheetml/2006/main">
  <authors>
    <author>KBlattenberger</author>
  </authors>
  <commentList>
    <comment ref="B1" authorId="0">
      <text>
        <r>
          <rPr>
            <sz val="8"/>
            <rFont val="Tahoma"/>
            <family val="2"/>
          </rPr>
          <t>Version 2.0 presents a new format where rather than entering S-parameter data, the user inputs real and imaginary components as read off of a network analyzer or a simulation.</t>
        </r>
      </text>
    </comment>
    <comment ref="M2" authorId="0">
      <text>
        <r>
          <rPr>
            <sz val="8"/>
            <rFont val="Tahoma"/>
            <family val="2"/>
          </rPr>
          <t>Enter the system reference impedance here.</t>
        </r>
      </text>
    </comment>
    <comment ref="G4" authorId="0">
      <text>
        <r>
          <rPr>
            <sz val="8"/>
            <rFont val="Tahoma"/>
            <family val="2"/>
          </rPr>
          <t>Do not delete these cells or else the calibration points on the Smith Chart will go away.</t>
        </r>
      </text>
    </comment>
  </commentList>
</comments>
</file>

<file path=xl/comments2.xml><?xml version="1.0" encoding="utf-8"?>
<comments xmlns="http://schemas.openxmlformats.org/spreadsheetml/2006/main">
  <authors>
    <author>KBlattenberger</author>
  </authors>
  <commentList>
    <comment ref="H6" authorId="0">
      <text>
        <r>
          <rPr>
            <sz val="8"/>
            <rFont val="Tahoma"/>
            <family val="2"/>
          </rPr>
          <t>K is the linear attenuation ratio</t>
        </r>
      </text>
    </comment>
  </commentList>
</comments>
</file>

<file path=xl/comments20.xml><?xml version="1.0" encoding="utf-8"?>
<comments xmlns="http://schemas.openxmlformats.org/spreadsheetml/2006/main">
  <authors>
    <author>Kirt Blattenberger</author>
  </authors>
  <commentList>
    <comment ref="D5" authorId="0">
      <text>
        <r>
          <rPr>
            <sz val="8"/>
            <rFont val="Tahoma"/>
            <family val="2"/>
          </rPr>
          <t>used for power calculations</t>
        </r>
      </text>
    </comment>
  </commentList>
</comments>
</file>

<file path=xl/comments3.xml><?xml version="1.0" encoding="utf-8"?>
<comments xmlns="http://schemas.openxmlformats.org/spreadsheetml/2006/main">
  <authors>
    <author>KBlattenberger</author>
  </authors>
  <commentList>
    <comment ref="D13" authorId="0">
      <text>
        <r>
          <rPr>
            <sz val="8"/>
            <rFont val="Tahoma"/>
            <family val="2"/>
          </rPr>
          <t>Attenuation is sometimes given here, but the negative values really indicate gain.</t>
        </r>
      </text>
    </comment>
    <comment ref="C9" authorId="0">
      <text>
        <r>
          <rPr>
            <sz val="8"/>
            <rFont val="Tahoma"/>
            <family val="2"/>
          </rPr>
          <t>These values determine the range of frequencies used in the Freq column in the table below.</t>
        </r>
      </text>
    </comment>
  </commentList>
</comments>
</file>

<file path=xl/comments4.xml><?xml version="1.0" encoding="utf-8"?>
<comments xmlns="http://schemas.openxmlformats.org/spreadsheetml/2006/main">
  <authors>
    <author>Kirt Blattenberger</author>
  </authors>
  <commentList>
    <comment ref="F8" authorId="0">
      <text>
        <r>
          <rPr>
            <sz val="8"/>
            <rFont val="Tahoma"/>
            <family val="2"/>
          </rPr>
          <t>Referenced to component output</t>
        </r>
      </text>
    </comment>
    <comment ref="G8" authorId="0">
      <text>
        <r>
          <rPr>
            <sz val="8"/>
            <rFont val="Tahoma"/>
            <family val="2"/>
          </rPr>
          <t>Referenced to component output</t>
        </r>
      </text>
    </comment>
    <comment ref="K8" authorId="0">
      <text>
        <r>
          <rPr>
            <sz val="8"/>
            <rFont val="Tahoma"/>
            <family val="2"/>
          </rPr>
          <t>Referenced to component output</t>
        </r>
      </text>
    </comment>
    <comment ref="L8" authorId="0">
      <text>
        <r>
          <rPr>
            <sz val="8"/>
            <rFont val="Tahoma"/>
            <family val="2"/>
          </rPr>
          <t>Referenced to component output</t>
        </r>
      </text>
    </comment>
  </commentList>
</comments>
</file>

<file path=xl/comments6.xml><?xml version="1.0" encoding="utf-8"?>
<comments xmlns="http://schemas.openxmlformats.org/spreadsheetml/2006/main">
  <authors>
    <author>Kirt Blattenberger</author>
  </authors>
  <commentList>
    <comment ref="F6" authorId="0">
      <text>
        <r>
          <rPr>
            <sz val="8"/>
            <rFont val="Tahoma"/>
            <family val="2"/>
          </rPr>
          <t>Insertion loss not including theoretical Coupling Loss</t>
        </r>
      </text>
    </comment>
    <comment ref="L6" authorId="0">
      <text>
        <r>
          <rPr>
            <sz val="8"/>
            <rFont val="Tahoma"/>
            <family val="2"/>
          </rPr>
          <t>Theoretical coupling loss</t>
        </r>
      </text>
    </comment>
    <comment ref="I6" authorId="0">
      <text>
        <r>
          <rPr>
            <sz val="8"/>
            <rFont val="Tahoma"/>
            <family val="2"/>
          </rPr>
          <t xml:space="preserve">     Mainline Loss
+ Theoretical Coupling Loss</t>
        </r>
      </text>
    </comment>
  </commentList>
</comments>
</file>

<file path=xl/comments7.xml><?xml version="1.0" encoding="utf-8"?>
<comments xmlns="http://schemas.openxmlformats.org/spreadsheetml/2006/main">
  <authors>
    <author>KBlattenberger</author>
  </authors>
  <commentList>
    <comment ref="D12" authorId="0">
      <text>
        <r>
          <rPr>
            <sz val="8"/>
            <rFont val="Tahoma"/>
            <family val="2"/>
          </rPr>
          <t>Attenuation is sometimes given here, but the negative values really indicate gain.</t>
        </r>
      </text>
    </comment>
    <comment ref="C8" authorId="0">
      <text>
        <r>
          <rPr>
            <sz val="8"/>
            <rFont val="Tahoma"/>
            <family val="2"/>
          </rPr>
          <t>These values determine the range of frequencies used in the Freq column in the table below.</t>
        </r>
      </text>
    </comment>
  </commentList>
</comments>
</file>

<file path=xl/comments8.xml><?xml version="1.0" encoding="utf-8"?>
<comments xmlns="http://schemas.openxmlformats.org/spreadsheetml/2006/main">
  <authors>
    <author>KBlattenberger</author>
  </authors>
  <commentList>
    <comment ref="D12" authorId="0">
      <text>
        <r>
          <rPr>
            <sz val="8"/>
            <rFont val="Tahoma"/>
            <family val="2"/>
          </rPr>
          <t>Attenuation is sometimes given here, but the negative values really indicate gain.</t>
        </r>
      </text>
    </comment>
    <comment ref="C8" authorId="0">
      <text>
        <r>
          <rPr>
            <sz val="8"/>
            <rFont val="Tahoma"/>
            <family val="2"/>
          </rPr>
          <t>These values determine the range of frequencies used in the Freq column in the table below.</t>
        </r>
      </text>
    </comment>
  </commentList>
</comments>
</file>

<file path=xl/sharedStrings.xml><?xml version="1.0" encoding="utf-8"?>
<sst xmlns="http://schemas.openxmlformats.org/spreadsheetml/2006/main" count="803" uniqueCount="397">
  <si>
    <t>dB</t>
  </si>
  <si>
    <t>K=</t>
  </si>
  <si>
    <t>W</t>
  </si>
  <si>
    <t>Order:</t>
  </si>
  <si>
    <t>Graph Parameters (101 pts)</t>
  </si>
  <si>
    <t>dBm</t>
  </si>
  <si>
    <t xml:space="preserve"> </t>
  </si>
  <si>
    <t>Gain (dB)</t>
  </si>
  <si>
    <t>Frequency</t>
  </si>
  <si>
    <t>m</t>
  </si>
  <si>
    <t>Noise Figure:</t>
  </si>
  <si>
    <t>Noise Temperature:</t>
  </si>
  <si>
    <t>K</t>
  </si>
  <si>
    <t xml:space="preserve"> V</t>
  </si>
  <si>
    <t>mW</t>
  </si>
  <si>
    <t>V</t>
  </si>
  <si>
    <t>mA</t>
  </si>
  <si>
    <t>Conversions</t>
  </si>
  <si>
    <t>VSWR Mismatch Effects</t>
  </si>
  <si>
    <t>:1</t>
  </si>
  <si>
    <t>VSWR A</t>
  </si>
  <si>
    <t>VSWR B</t>
  </si>
  <si>
    <t>VSWR Reduction By Matched Attenuator</t>
  </si>
  <si>
    <t>Attenuator</t>
  </si>
  <si>
    <t>Load VSWR</t>
  </si>
  <si>
    <t>Improved VSWR</t>
  </si>
  <si>
    <t>at both ports.</t>
  </si>
  <si>
    <t>Wavelength</t>
  </si>
  <si>
    <t>Transmitter</t>
  </si>
  <si>
    <t>Path</t>
  </si>
  <si>
    <t>Receiver</t>
  </si>
  <si>
    <t>Power Out</t>
  </si>
  <si>
    <t>Distance</t>
  </si>
  <si>
    <t>Power @ Antenna</t>
  </si>
  <si>
    <t>Antenna Gain</t>
  </si>
  <si>
    <t>Attenuation</t>
  </si>
  <si>
    <t>dBi</t>
  </si>
  <si>
    <t>MHz</t>
  </si>
  <si>
    <t>System Gain</t>
  </si>
  <si>
    <t>Detector Power</t>
  </si>
  <si>
    <t>km</t>
  </si>
  <si>
    <t>ft</t>
  </si>
  <si>
    <t>Distance to Target</t>
  </si>
  <si>
    <t>Target</t>
  </si>
  <si>
    <t>Power @ Target</t>
  </si>
  <si>
    <t>Radar Cross-Section</t>
  </si>
  <si>
    <t>GHz</t>
  </si>
  <si>
    <t>kHz</t>
  </si>
  <si>
    <t>Upper:</t>
  </si>
  <si>
    <t>Lower:</t>
  </si>
  <si>
    <t>Start:</t>
  </si>
  <si>
    <t>Stop:</t>
  </si>
  <si>
    <t>Step:</t>
  </si>
  <si>
    <t>Resistive Attenuator Calculator</t>
  </si>
  <si>
    <t xml:space="preserve"> Zout</t>
  </si>
  <si>
    <t xml:space="preserve">Zin </t>
  </si>
  <si>
    <t>Red values indicate unallowed Zin:Zout combination.</t>
  </si>
  <si>
    <t>Tee (T) Pad</t>
  </si>
  <si>
    <t>Ripple:</t>
  </si>
  <si>
    <t>Butterworth</t>
  </si>
  <si>
    <t>Chebyshev</t>
  </si>
  <si>
    <t>Bandpass Filter Response</t>
  </si>
  <si>
    <t>Lowpass Filter Response</t>
  </si>
  <si>
    <t>Cutoff:</t>
  </si>
  <si>
    <t>Highpass Filter Response</t>
  </si>
  <si>
    <t>Hz</t>
  </si>
  <si>
    <t>MW</t>
  </si>
  <si>
    <t>kW</t>
  </si>
  <si>
    <t>dBW</t>
  </si>
  <si>
    <t>mm</t>
  </si>
  <si>
    <t>smi</t>
  </si>
  <si>
    <t>nmi</t>
  </si>
  <si>
    <t>in</t>
  </si>
  <si>
    <t>mil</t>
  </si>
  <si>
    <t>cm</t>
  </si>
  <si>
    <t>TxPout (W)</t>
  </si>
  <si>
    <t>RxPin (W)</t>
  </si>
  <si>
    <t>Freq (Hz)</t>
  </si>
  <si>
    <t>Wavelength (m)</t>
  </si>
  <si>
    <t>Distance (m)</t>
  </si>
  <si>
    <t>(dBW)</t>
  </si>
  <si>
    <t>Pdet (W)</t>
  </si>
  <si>
    <t>(W)</t>
  </si>
  <si>
    <t>1-Way Path Loss (Radio)</t>
  </si>
  <si>
    <t>Blue cells are in user-specified units</t>
  </si>
  <si>
    <t>Green cells are in standard units for equations</t>
  </si>
  <si>
    <t>N/A</t>
  </si>
  <si>
    <r>
      <t>m</t>
    </r>
    <r>
      <rPr>
        <vertAlign val="superscript"/>
        <sz val="9"/>
        <rFont val="Arial"/>
        <family val="2"/>
      </rPr>
      <t>2</t>
    </r>
  </si>
  <si>
    <t>RCS Gain</t>
  </si>
  <si>
    <t>Ptarget (W)</t>
  </si>
  <si>
    <t>2-Way Path Loss (Monostatic Radar)</t>
  </si>
  <si>
    <t>to/from Target</t>
  </si>
  <si>
    <t>Radar Blind Speed</t>
  </si>
  <si>
    <t>kt</t>
  </si>
  <si>
    <t>Blind Speeds</t>
  </si>
  <si>
    <t>PRF</t>
  </si>
  <si>
    <t>pps</t>
  </si>
  <si>
    <t>λ (m)</t>
  </si>
  <si>
    <r>
      <t>1st s</t>
    </r>
    <r>
      <rPr>
        <vertAlign val="subscript"/>
        <sz val="8"/>
        <rFont val="Arial Narrow"/>
        <family val="2"/>
      </rPr>
      <t>B</t>
    </r>
    <r>
      <rPr>
        <sz val="8"/>
        <rFont val="Arial Narrow"/>
        <family val="2"/>
      </rPr>
      <t xml:space="preserve"> (km/hr)</t>
    </r>
  </si>
  <si>
    <t>mi/hr</t>
  </si>
  <si>
    <t>km/hr</t>
  </si>
  <si>
    <t>1st</t>
  </si>
  <si>
    <t>2nd</t>
  </si>
  <si>
    <t>3rd</t>
  </si>
  <si>
    <t>4th</t>
  </si>
  <si>
    <t>5th</t>
  </si>
  <si>
    <t>ft/s</t>
  </si>
  <si>
    <t>m/s</t>
  </si>
  <si>
    <r>
      <t>Pi (</t>
    </r>
    <r>
      <rPr>
        <sz val="10"/>
        <color indexed="60"/>
        <rFont val="Symbol"/>
        <family val="1"/>
      </rPr>
      <t>p</t>
    </r>
    <r>
      <rPr>
        <b/>
        <sz val="9"/>
        <color indexed="60"/>
        <rFont val="Arial"/>
        <family val="2"/>
      </rPr>
      <t>) Pad</t>
    </r>
  </si>
  <si>
    <t>VSWR Conversions &amp; Mismatch</t>
  </si>
  <si>
    <t>Note: This only holds exactly</t>
  </si>
  <si>
    <t>when the attenuator is a</t>
  </si>
  <si>
    <t>perfect VSWR match (1:1)</t>
  </si>
  <si>
    <t>VSWR:</t>
  </si>
  <si>
    <t>Return Loss:</t>
  </si>
  <si>
    <t>G:</t>
  </si>
  <si>
    <t>Amplitude Error:</t>
  </si>
  <si>
    <t>Phase Error:</t>
  </si>
  <si>
    <t>Max VSWR:</t>
  </si>
  <si>
    <t>Attenuation :</t>
  </si>
  <si>
    <t>Min VSWR:</t>
  </si>
  <si>
    <t>Ω</t>
  </si>
  <si>
    <t xml:space="preserve"> Vee:</t>
  </si>
  <si>
    <t xml:space="preserve"> Vcc:</t>
  </si>
  <si>
    <t xml:space="preserve"> R2:</t>
  </si>
  <si>
    <t xml:space="preserve"> R1:</t>
  </si>
  <si>
    <t>Vout:</t>
  </si>
  <si>
    <t>I:</t>
  </si>
  <si>
    <r>
      <t>R</t>
    </r>
    <r>
      <rPr>
        <b/>
        <vertAlign val="subscript"/>
        <sz val="10"/>
        <rFont val="Arial"/>
        <family val="2"/>
      </rPr>
      <t>Load</t>
    </r>
    <r>
      <rPr>
        <b/>
        <sz val="8"/>
        <rFont val="Arial"/>
        <family val="2"/>
      </rPr>
      <t>:</t>
    </r>
  </si>
  <si>
    <t>Resistive Voltage Divider</t>
  </si>
  <si>
    <t>Noise Figure (NF) - to - Noise Temperature (NT)</t>
  </si>
  <si>
    <t>Click here for the online version</t>
  </si>
  <si>
    <t>Click here to check for Updates</t>
  </si>
  <si>
    <r>
      <t>dB</t>
    </r>
    <r>
      <rPr>
        <sz val="8"/>
        <rFont val="Arial"/>
        <family val="2"/>
      </rPr>
      <t xml:space="preserve"> (Cheby)</t>
    </r>
  </si>
  <si>
    <t>Click here for the online version (Butterworth)</t>
  </si>
  <si>
    <t>Click here for the online version (Chebyshev)</t>
  </si>
  <si>
    <t>Click here to check to purchase unlocked version</t>
  </si>
  <si>
    <t>Disclaimer: Your use of this RF Cafe Calculator Workbook indicates that you accept full responsibility for the results produced, and that you agree to hold harmless Kirt Blattenberger, RF Cafe, and it assigns, for any damages that may result from its use.</t>
  </si>
  <si>
    <t>Please report any errors here:</t>
  </si>
  <si>
    <t>rfcafe@earthlink.net</t>
  </si>
  <si>
    <t>RF Cafe Calculator Workbook</t>
  </si>
  <si>
    <t>Revision History</t>
  </si>
  <si>
    <t>Version</t>
  </si>
  <si>
    <t>Description</t>
  </si>
  <si>
    <t>Calculators</t>
  </si>
  <si>
    <t>Attenuators</t>
  </si>
  <si>
    <t>Bandpass Filters</t>
  </si>
  <si>
    <t>Highpass Filters</t>
  </si>
  <si>
    <t>Lowpass Filters</t>
  </si>
  <si>
    <t>Path Loss, 1-Way</t>
  </si>
  <si>
    <t>Path Loss, 2-Way</t>
  </si>
  <si>
    <t>Noise Figure↔Temp</t>
  </si>
  <si>
    <t>VSWR↔RL↔Gamma</t>
  </si>
  <si>
    <t>Voltage Divider</t>
  </si>
  <si>
    <t>Mode</t>
  </si>
  <si>
    <t>Resonant</t>
  </si>
  <si>
    <t>n</t>
  </si>
  <si>
    <t>p</t>
  </si>
  <si>
    <t>Length:</t>
  </si>
  <si>
    <t>Rectangular Cavity</t>
  </si>
  <si>
    <t>Rectangular Cavity Resonance</t>
  </si>
  <si>
    <t>e:</t>
  </si>
  <si>
    <t>m:</t>
  </si>
  <si>
    <t>H/m</t>
  </si>
  <si>
    <t>F/m</t>
  </si>
  <si>
    <t>c:</t>
  </si>
  <si>
    <t>b:</t>
  </si>
  <si>
    <t>a:</t>
  </si>
  <si>
    <t>Dimensions (a&lt;b&lt;c)</t>
  </si>
  <si>
    <r>
      <t>TE</t>
    </r>
    <r>
      <rPr>
        <b/>
        <vertAlign val="subscript"/>
        <sz val="9"/>
        <color indexed="16"/>
        <rFont val="Arial"/>
        <family val="2"/>
      </rPr>
      <t>m,n,p</t>
    </r>
    <r>
      <rPr>
        <b/>
        <sz val="9"/>
        <color indexed="16"/>
        <rFont val="Arial"/>
        <family val="2"/>
      </rPr>
      <t xml:space="preserve"> &amp; TM</t>
    </r>
    <r>
      <rPr>
        <b/>
        <vertAlign val="subscript"/>
        <sz val="9"/>
        <color indexed="16"/>
        <rFont val="Arial"/>
        <family val="2"/>
      </rPr>
      <t>m,n,p</t>
    </r>
  </si>
  <si>
    <t>Freq</t>
  </si>
  <si>
    <t>THz</t>
  </si>
  <si>
    <t>Size</t>
  </si>
  <si>
    <t>Inductance</t>
  </si>
  <si>
    <t>Single-Layer, Air-Core Coil</t>
  </si>
  <si>
    <t>Straight Wire</t>
  </si>
  <si>
    <t>Diameter (2r):</t>
  </si>
  <si>
    <t>Diameter (d):</t>
  </si>
  <si>
    <t>Length (x):</t>
  </si>
  <si>
    <t>Length (L):</t>
  </si>
  <si>
    <t># Turns:</t>
  </si>
  <si>
    <t>Inductance:</t>
  </si>
  <si>
    <t>uH</t>
  </si>
  <si>
    <t>Diameter:</t>
  </si>
  <si>
    <t>Wire diameter on RF Cafe.</t>
  </si>
  <si>
    <t>H</t>
  </si>
  <si>
    <t>Ind Mult</t>
  </si>
  <si>
    <t>Lenght Mult</t>
  </si>
  <si>
    <t>mH</t>
  </si>
  <si>
    <t>Added Rectangular Cavity, Coils</t>
  </si>
  <si>
    <t>nH</t>
  </si>
  <si>
    <t>Turns Mult</t>
  </si>
  <si>
    <t>Inductance (Low Freq):</t>
  </si>
  <si>
    <t>Inductance (High Freq):</t>
  </si>
  <si>
    <t>Single-Layer Air Coil - find Inductance</t>
  </si>
  <si>
    <t>Single-Layer Air Coil - find Turns</t>
  </si>
  <si>
    <t>Length Mult</t>
  </si>
  <si>
    <t>Home</t>
  </si>
  <si>
    <t>Input Power:</t>
  </si>
  <si>
    <t>Output Values</t>
  </si>
  <si>
    <t>Component Name</t>
  </si>
  <si>
    <t>NF (dB)</t>
  </si>
  <si>
    <t>Pwr (dBm)</t>
  </si>
  <si>
    <t>Gain  (dB)</t>
  </si>
  <si>
    <t>System Cascade Parameter Calculator</t>
  </si>
  <si>
    <t>IP3 (dBm)</t>
  </si>
  <si>
    <t>IP2 (dBm)</t>
  </si>
  <si>
    <t>Cascaded Components</t>
  </si>
  <si>
    <t>Input</t>
  </si>
  <si>
    <t>Ä</t>
  </si>
  <si>
    <t>Output</t>
  </si>
  <si>
    <t>High:</t>
  </si>
  <si>
    <t>—</t>
  </si>
  <si>
    <t>Low:</t>
  </si>
  <si>
    <t>|</t>
  </si>
  <si>
    <t>Units</t>
  </si>
  <si>
    <t>Local Oscillator</t>
  </si>
  <si>
    <t>Mixer Frequency Conversion</t>
  </si>
  <si>
    <t>Upper Sideband:</t>
  </si>
  <si>
    <t>Lower Sideband:</t>
  </si>
  <si>
    <t>Added Cascaded Components, Mixer Frequency Conversion</t>
  </si>
  <si>
    <t>Directional Couplers</t>
  </si>
  <si>
    <t>Input (Port 1)</t>
  </si>
  <si>
    <t>Mainline Loss</t>
  </si>
  <si>
    <t>Transmitted (Port 2)</t>
  </si>
  <si>
    <t>Coupling Factor</t>
  </si>
  <si>
    <t>Directivity</t>
  </si>
  <si>
    <t>Isolation</t>
  </si>
  <si>
    <t>Coupled (Port 3)</t>
  </si>
  <si>
    <t>Isolated (Port 4)</t>
  </si>
  <si>
    <t>Coupling Loss Only</t>
  </si>
  <si>
    <t>Propagation Time</t>
  </si>
  <si>
    <t>RF Energy Propagation Time</t>
  </si>
  <si>
    <t>Propagation Speed</t>
  </si>
  <si>
    <t>Relative Dielectric</t>
  </si>
  <si>
    <t># of Wavelengths</t>
  </si>
  <si>
    <t>day</t>
  </si>
  <si>
    <t>hr</t>
  </si>
  <si>
    <t>s</t>
  </si>
  <si>
    <t>ms</t>
  </si>
  <si>
    <t>us</t>
  </si>
  <si>
    <t>ns</t>
  </si>
  <si>
    <t>ps</t>
  </si>
  <si>
    <t>fs</t>
  </si>
  <si>
    <t>mi</t>
  </si>
  <si>
    <t>yd</t>
  </si>
  <si>
    <t>yr</t>
  </si>
  <si>
    <t>mo</t>
  </si>
  <si>
    <t>wk</t>
  </si>
  <si>
    <t>User Units:</t>
  </si>
  <si>
    <t>User Value:</t>
  </si>
  <si>
    <t>Distance (m):</t>
  </si>
  <si>
    <t>au</t>
  </si>
  <si>
    <t>ly</t>
  </si>
  <si>
    <t>Distance (in meters)</t>
  </si>
  <si>
    <t>Frequency (Hz):</t>
  </si>
  <si>
    <t>Frequency (in Hz)</t>
  </si>
  <si>
    <t>Wavelength (m):</t>
  </si>
  <si>
    <t>Prop Speed</t>
  </si>
  <si>
    <t>in/s</t>
  </si>
  <si>
    <t>km/s</t>
  </si>
  <si>
    <t>mi/s</t>
  </si>
  <si>
    <t>Prop Time</t>
  </si>
  <si>
    <t>c(user):</t>
  </si>
  <si>
    <t>c0(m/s):</t>
  </si>
  <si>
    <t>c(m/s):</t>
  </si>
  <si>
    <t>min</t>
  </si>
  <si>
    <t>con't:</t>
  </si>
  <si>
    <t>t(user):</t>
  </si>
  <si>
    <t>t0(s):</t>
  </si>
  <si>
    <t>t(s):</t>
  </si>
  <si>
    <t>Wavelength (user):</t>
  </si>
  <si>
    <t>Added Directional Couplers</t>
  </si>
  <si>
    <t>Added Propagation Time</t>
  </si>
  <si>
    <t>Corrected straight wire inductor formula</t>
  </si>
  <si>
    <t>Coils / Inductors</t>
  </si>
  <si>
    <t>R2||Rload:</t>
  </si>
  <si>
    <t>Corrected voltage divider Rload current formula</t>
  </si>
  <si>
    <t>Initial release</t>
  </si>
  <si>
    <t>v6.0</t>
  </si>
  <si>
    <t>Smith Chart</t>
  </si>
  <si>
    <t>Click Here to Download</t>
  </si>
  <si>
    <t>This Excel workbook demonstrates how easy it is to implement a Smith Chart using only a standard x-y scatter chart and coordinate conversions. The workbook shown at the right used data imported from a typical S-parameter file (in this case an RF2321 amplifier, from RF Micro Devices) and plotted on a chart that uses an image file that contains a Smith Chart. Version 2.0 adds equivalent denormalized impedance with equivalent resistance and capacitance/inductance values. Version 2.1 corrects a graphical equation, but does not affect the accuracy of the previous versions. Download it for free, compliments of RF Cafe.</t>
  </si>
  <si>
    <t>Added Vrms &amp; Vavg, Smith Chart Download</t>
  </si>
  <si>
    <t>Smith Chart for Excel</t>
  </si>
  <si>
    <t>http://www.analog.com/Analog_Root/static/techSupport/designTools/interactiveTools/dbconvert/dbconvert.html</t>
  </si>
  <si>
    <t>Sine</t>
  </si>
  <si>
    <t>Square</t>
  </si>
  <si>
    <t>Triangle</t>
  </si>
  <si>
    <t>dBu is referenced to 0.775 Vrms (1 mW@600 ohms)</t>
  </si>
  <si>
    <t>dBV is referenced to 1 Vrms</t>
  </si>
  <si>
    <t>Vpeak:</t>
  </si>
  <si>
    <t>Vrms:</t>
  </si>
  <si>
    <t>Vavg:</t>
  </si>
  <si>
    <t>P (mW):</t>
  </si>
  <si>
    <t>P (dBm):</t>
  </si>
  <si>
    <t>Waveform:</t>
  </si>
  <si>
    <t>Zo:</t>
  </si>
  <si>
    <t>V (dBV):</t>
  </si>
  <si>
    <t>V (dBu):</t>
  </si>
  <si>
    <r>
      <t>AC Voltage &amp; Power Conversions - V</t>
    </r>
    <r>
      <rPr>
        <b/>
        <vertAlign val="subscript"/>
        <sz val="9"/>
        <color indexed="9"/>
        <rFont val="Arial"/>
        <family val="2"/>
      </rPr>
      <t>rms</t>
    </r>
    <r>
      <rPr>
        <b/>
        <sz val="9"/>
        <color indexed="9"/>
        <rFont val="Arial"/>
        <family val="2"/>
      </rPr>
      <t>, V</t>
    </r>
    <r>
      <rPr>
        <b/>
        <vertAlign val="subscript"/>
        <sz val="9"/>
        <color indexed="9"/>
        <rFont val="Arial"/>
        <family val="2"/>
      </rPr>
      <t>avg</t>
    </r>
    <r>
      <rPr>
        <b/>
        <sz val="9"/>
        <color indexed="9"/>
        <rFont val="Arial"/>
        <family val="2"/>
      </rPr>
      <t>, V</t>
    </r>
    <r>
      <rPr>
        <b/>
        <vertAlign val="subscript"/>
        <sz val="9"/>
        <color indexed="9"/>
        <rFont val="Arial"/>
        <family val="2"/>
      </rPr>
      <t>pk</t>
    </r>
    <r>
      <rPr>
        <b/>
        <sz val="9"/>
        <color indexed="9"/>
        <rFont val="Arial"/>
        <family val="2"/>
      </rPr>
      <t>, V</t>
    </r>
    <r>
      <rPr>
        <b/>
        <vertAlign val="subscript"/>
        <sz val="9"/>
        <color indexed="9"/>
        <rFont val="Arial"/>
        <family val="2"/>
      </rPr>
      <t>pk-pk</t>
    </r>
  </si>
  <si>
    <r>
      <t>Voltages &amp; Power - Vrms, Vavg, Vpk</t>
    </r>
  </si>
  <si>
    <t>S11x</t>
  </si>
  <si>
    <t>S11y</t>
  </si>
  <si>
    <t>Freq (MHz)</t>
  </si>
  <si>
    <t>Calibration Points</t>
  </si>
  <si>
    <t>L or C</t>
  </si>
  <si>
    <t>Series Title</t>
  </si>
  <si>
    <t>Enter name</t>
  </si>
  <si>
    <t>Enter data in colored cells</t>
  </si>
  <si>
    <t>Cplx</t>
  </si>
  <si>
    <t>Zref</t>
  </si>
  <si>
    <t>Quotient</t>
  </si>
  <si>
    <t>Numerator</t>
  </si>
  <si>
    <t>Denominator</t>
  </si>
  <si>
    <t>Re</t>
  </si>
  <si>
    <t>Im</t>
  </si>
  <si>
    <t>Copyright: Kirt Blattenberger, RF Cafe</t>
  </si>
  <si>
    <t>Complex</t>
  </si>
  <si>
    <t>Smith Chart for Excel - Enter Impedances  v1.0</t>
  </si>
  <si>
    <t>Reflection Coefficient  (G)</t>
  </si>
  <si>
    <t>RL (W)</t>
  </si>
  <si>
    <t>XL (W)</t>
  </si>
  <si>
    <t>|ZL|</t>
  </si>
  <si>
    <t>ÐZL</t>
  </si>
  <si>
    <t>50</t>
  </si>
  <si>
    <t>0</t>
  </si>
  <si>
    <t>100</t>
  </si>
  <si>
    <t>25</t>
  </si>
  <si>
    <t>-25</t>
  </si>
  <si>
    <t>75</t>
  </si>
  <si>
    <t>-0.333333333333333</t>
  </si>
  <si>
    <t>25+25j</t>
  </si>
  <si>
    <t>4.3249 nH</t>
  </si>
  <si>
    <t>-25+25j</t>
  </si>
  <si>
    <t>75+25j</t>
  </si>
  <si>
    <t>-0.2+0.4j</t>
  </si>
  <si>
    <t>50+50j</t>
  </si>
  <si>
    <t>8.5567 nH</t>
  </si>
  <si>
    <t>50j</t>
  </si>
  <si>
    <t>100+50j</t>
  </si>
  <si>
    <t>0.2+0.4j</t>
  </si>
  <si>
    <t>150</t>
  </si>
  <si>
    <t>0.333333333333333</t>
  </si>
  <si>
    <t>50-50j</t>
  </si>
  <si>
    <t>3.3506 pF</t>
  </si>
  <si>
    <t>-50j</t>
  </si>
  <si>
    <t>100-50j</t>
  </si>
  <si>
    <t>0.2-0.4j</t>
  </si>
  <si>
    <t>25-25j</t>
  </si>
  <si>
    <t>6.6315 pF</t>
  </si>
  <si>
    <t>-25-25j</t>
  </si>
  <si>
    <t>75-25j</t>
  </si>
  <si>
    <t>-0.2-0.4j</t>
  </si>
  <si>
    <t>10</t>
  </si>
  <si>
    <t>-40</t>
  </si>
  <si>
    <t>60</t>
  </si>
  <si>
    <t>-0.666666666666667</t>
  </si>
  <si>
    <t>10+25j</t>
  </si>
  <si>
    <t>4.0601 nH</t>
  </si>
  <si>
    <t>-40+25j</t>
  </si>
  <si>
    <t>60+25j</t>
  </si>
  <si>
    <t>-0.420118343195266+0.591715976331361j</t>
  </si>
  <si>
    <t>1E-007+50j</t>
  </si>
  <si>
    <t>8.0381 nH</t>
  </si>
  <si>
    <t>-49.9999999+50j</t>
  </si>
  <si>
    <t>50.0000001+50j</t>
  </si>
  <si>
    <t>0.999999998j</t>
  </si>
  <si>
    <t>100+250j</t>
  </si>
  <si>
    <t>39.7887 nH</t>
  </si>
  <si>
    <t>50+250j</t>
  </si>
  <si>
    <t>150+250j</t>
  </si>
  <si>
    <t>0.823529411764706+0.294117647058824j</t>
  </si>
  <si>
    <t>500</t>
  </si>
  <si>
    <t>450</t>
  </si>
  <si>
    <t>550</t>
  </si>
  <si>
    <t>0.818181818181818</t>
  </si>
  <si>
    <t>100-250j</t>
  </si>
  <si>
    <t>0.6241 pF</t>
  </si>
  <si>
    <t>50-250j</t>
  </si>
  <si>
    <t>150-250j</t>
  </si>
  <si>
    <t>0.823529411764706-0.294117647058824j</t>
  </si>
  <si>
    <t>1E-007-50j</t>
  </si>
  <si>
    <t>3.0904 pF</t>
  </si>
  <si>
    <t>-49.9999999-50j</t>
  </si>
  <si>
    <t>50.0000001-50j</t>
  </si>
  <si>
    <t>-0.999999998j</t>
  </si>
  <si>
    <t>10-25j</t>
  </si>
  <si>
    <t>6.1213 pF</t>
  </si>
  <si>
    <t>-40-25j</t>
  </si>
  <si>
    <t>60-25j</t>
  </si>
  <si>
    <t>-0.420118343195266-0.591715976331361j</t>
  </si>
  <si>
    <t>1E-007</t>
  </si>
  <si>
    <t>-49.9999999</t>
  </si>
  <si>
    <t>50.0000001</t>
  </si>
  <si>
    <t>-0.999999996</t>
  </si>
  <si>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</sst>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0"/>
    <numFmt numFmtId="177" formatCode="0.000"/>
    <numFmt numFmtId="178" formatCode="0.00000"/>
    <numFmt numFmtId="179" formatCode="0.0000000"/>
    <numFmt numFmtId="180" formatCode="0.000000"/>
    <numFmt numFmtId="181" formatCode="0.0"/>
    <numFmt numFmtId="182" formatCode="0.000E+00"/>
    <numFmt numFmtId="183" formatCode="0.0E+00"/>
    <numFmt numFmtId="184" formatCode="0E+00"/>
  </numFmts>
  <fonts count="79">
    <font>
      <sz val="9"/>
      <name val="Arial"/>
      <family val="0"/>
    </font>
    <font>
      <sz val="8"/>
      <name val="Arial"/>
      <family val="0"/>
    </font>
    <font>
      <sz val="10"/>
      <name val="Arial"/>
      <family val="0"/>
    </font>
    <font>
      <sz val="9"/>
      <name val="Verdana"/>
      <family val="0"/>
    </font>
    <font>
      <sz val="10"/>
      <name val="Verdana"/>
      <family val="0"/>
    </font>
    <font>
      <b/>
      <sz val="9"/>
      <name val="Arial"/>
      <family val="0"/>
    </font>
    <font>
      <b/>
      <sz val="10"/>
      <name val="Verdana"/>
      <family val="0"/>
    </font>
    <font>
      <b/>
      <sz val="8"/>
      <name val="Arial"/>
      <family val="0"/>
    </font>
    <font>
      <sz val="9"/>
      <color indexed="8"/>
      <name val="Arial"/>
      <family val="0"/>
    </font>
    <font>
      <sz val="8"/>
      <name val="Tahoma"/>
      <family val="2"/>
    </font>
    <font>
      <sz val="7"/>
      <name val="Arial"/>
      <family val="2"/>
    </font>
    <font>
      <b/>
      <sz val="9"/>
      <color indexed="61"/>
      <name val="Arial"/>
      <family val="2"/>
    </font>
    <font>
      <b/>
      <sz val="9"/>
      <color indexed="10"/>
      <name val="Arial"/>
      <family val="2"/>
    </font>
    <font>
      <sz val="9"/>
      <name val="Symbol"/>
      <family val="1"/>
    </font>
    <font>
      <b/>
      <sz val="8"/>
      <color indexed="25"/>
      <name val="Arial"/>
      <family val="2"/>
    </font>
    <font>
      <i/>
      <sz val="8"/>
      <color indexed="10"/>
      <name val="Arial"/>
      <family val="2"/>
    </font>
    <font>
      <i/>
      <sz val="8"/>
      <color indexed="9"/>
      <name val="Arial"/>
      <family val="2"/>
    </font>
    <font>
      <sz val="3"/>
      <name val="Arial"/>
      <family val="2"/>
    </font>
    <font>
      <sz val="12"/>
      <name val="Arial"/>
      <family val="0"/>
    </font>
    <font>
      <sz val="1"/>
      <color indexed="9"/>
      <name val="Arial"/>
      <family val="0"/>
    </font>
    <font>
      <sz val="7"/>
      <color indexed="48"/>
      <name val="Arial"/>
      <family val="2"/>
    </font>
    <font>
      <b/>
      <u val="single"/>
      <sz val="10"/>
      <color indexed="62"/>
      <name val="Arial"/>
      <family val="0"/>
    </font>
    <font>
      <u val="single"/>
      <sz val="9"/>
      <color indexed="12"/>
      <name val="Arial"/>
      <family val="0"/>
    </font>
    <font>
      <u val="single"/>
      <sz val="9"/>
      <color indexed="36"/>
      <name val="Arial"/>
      <family val="0"/>
    </font>
    <font>
      <b/>
      <sz val="9"/>
      <color indexed="56"/>
      <name val="Arial"/>
      <family val="2"/>
    </font>
    <font>
      <vertAlign val="superscript"/>
      <sz val="9"/>
      <name val="Arial"/>
      <family val="2"/>
    </font>
    <font>
      <b/>
      <sz val="8"/>
      <name val="Arial Narrow"/>
      <family val="2"/>
    </font>
    <font>
      <sz val="6"/>
      <name val="Arial"/>
      <family val="0"/>
    </font>
    <font>
      <sz val="6"/>
      <name val="Arial Narrow"/>
      <family val="2"/>
    </font>
    <font>
      <sz val="8"/>
      <name val="Arial Narrow"/>
      <family val="2"/>
    </font>
    <font>
      <vertAlign val="subscript"/>
      <sz val="8"/>
      <name val="Arial Narrow"/>
      <family val="2"/>
    </font>
    <font>
      <sz val="9"/>
      <color indexed="18"/>
      <name val="Arial"/>
      <family val="2"/>
    </font>
    <font>
      <sz val="9"/>
      <color indexed="9"/>
      <name val="Arial"/>
      <family val="2"/>
    </font>
    <font>
      <b/>
      <sz val="8"/>
      <color indexed="8"/>
      <name val="Arial"/>
      <family val="2"/>
    </font>
    <font>
      <b/>
      <sz val="9"/>
      <color indexed="16"/>
      <name val="Arial"/>
      <family val="2"/>
    </font>
    <font>
      <sz val="8"/>
      <name val="Symbol"/>
      <family val="1"/>
    </font>
    <font>
      <b/>
      <sz val="9"/>
      <color indexed="60"/>
      <name val="Arial"/>
      <family val="2"/>
    </font>
    <font>
      <sz val="9"/>
      <color indexed="60"/>
      <name val="Arial"/>
      <family val="2"/>
    </font>
    <font>
      <sz val="10"/>
      <color indexed="60"/>
      <name val="Symbol"/>
      <family val="1"/>
    </font>
    <font>
      <b/>
      <sz val="8"/>
      <name val="Symbol"/>
      <family val="1"/>
    </font>
    <font>
      <b/>
      <sz val="8"/>
      <color indexed="16"/>
      <name val="Arial"/>
      <family val="2"/>
    </font>
    <font>
      <b/>
      <sz val="8"/>
      <name val="Verdana"/>
      <family val="0"/>
    </font>
    <font>
      <b/>
      <vertAlign val="subscript"/>
      <sz val="10"/>
      <name val="Arial"/>
      <family val="2"/>
    </font>
    <font>
      <b/>
      <u val="single"/>
      <sz val="9"/>
      <color indexed="18"/>
      <name val="Arial"/>
      <family val="2"/>
    </font>
    <font>
      <sz val="8"/>
      <color indexed="62"/>
      <name val="Arial"/>
      <family val="2"/>
    </font>
    <font>
      <u val="single"/>
      <sz val="7"/>
      <color indexed="48"/>
      <name val="Arial"/>
      <family val="0"/>
    </font>
    <font>
      <b/>
      <sz val="10"/>
      <color indexed="9"/>
      <name val="Arial"/>
      <family val="2"/>
    </font>
    <font>
      <b/>
      <sz val="9"/>
      <color indexed="9"/>
      <name val="Arial"/>
      <family val="2"/>
    </font>
    <font>
      <sz val="8"/>
      <name val="Verdana"/>
      <family val="2"/>
    </font>
    <font>
      <sz val="7"/>
      <color indexed="53"/>
      <name val="Verdana"/>
      <family val="2"/>
    </font>
    <font>
      <u val="single"/>
      <sz val="8"/>
      <color indexed="48"/>
      <name val="Arial"/>
      <family val="0"/>
    </font>
    <font>
      <sz val="7"/>
      <color indexed="53"/>
      <name val="Arial"/>
      <family val="2"/>
    </font>
    <font>
      <b/>
      <sz val="11"/>
      <color indexed="9"/>
      <name val="Symbol"/>
      <family val="1"/>
    </font>
    <font>
      <b/>
      <sz val="10"/>
      <name val="Symbol"/>
      <family val="1"/>
    </font>
    <font>
      <b/>
      <vertAlign val="subscript"/>
      <sz val="9"/>
      <color indexed="16"/>
      <name val="Arial"/>
      <family val="2"/>
    </font>
    <font>
      <u val="single"/>
      <sz val="8"/>
      <color indexed="12"/>
      <name val="Arial"/>
      <family val="0"/>
    </font>
    <font>
      <b/>
      <sz val="9"/>
      <name val="Symbol"/>
      <family val="1"/>
    </font>
    <font>
      <b/>
      <u val="single"/>
      <sz val="9"/>
      <name val="Arial"/>
      <family val="0"/>
    </font>
    <font>
      <sz val="9"/>
      <color indexed="62"/>
      <name val="Arial"/>
      <family val="0"/>
    </font>
    <font>
      <sz val="40"/>
      <name val="Symbol"/>
      <family val="1"/>
    </font>
    <font>
      <sz val="28"/>
      <name val="Symbol"/>
      <family val="1"/>
    </font>
    <font>
      <sz val="14"/>
      <name val="Verdana"/>
      <family val="2"/>
    </font>
    <font>
      <b/>
      <sz val="14"/>
      <name val="Symbol"/>
      <family val="1"/>
    </font>
    <font>
      <b/>
      <sz val="8"/>
      <color indexed="10"/>
      <name val="Arial"/>
      <family val="2"/>
    </font>
    <font>
      <b/>
      <sz val="8"/>
      <color indexed="53"/>
      <name val="Arial"/>
      <family val="2"/>
    </font>
    <font>
      <sz val="7"/>
      <color indexed="20"/>
      <name val="Arial"/>
      <family val="2"/>
    </font>
    <font>
      <u val="single"/>
      <sz val="7"/>
      <color indexed="30"/>
      <name val="Arial"/>
      <family val="0"/>
    </font>
    <font>
      <sz val="7"/>
      <color indexed="57"/>
      <name val="Arial"/>
      <family val="2"/>
    </font>
    <font>
      <b/>
      <vertAlign val="subscript"/>
      <sz val="9"/>
      <color indexed="9"/>
      <name val="Arial"/>
      <family val="2"/>
    </font>
    <font>
      <u val="single"/>
      <sz val="7"/>
      <color indexed="12"/>
      <name val="Arial"/>
      <family val="0"/>
    </font>
    <font>
      <sz val="10.5"/>
      <name val="Arial"/>
      <family val="0"/>
    </font>
    <font>
      <b/>
      <u val="single"/>
      <sz val="12"/>
      <color indexed="18"/>
      <name val="Arial"/>
      <family val="2"/>
    </font>
    <font>
      <sz val="8"/>
      <color indexed="18"/>
      <name val="Arial"/>
      <family val="2"/>
    </font>
    <font>
      <sz val="9"/>
      <color indexed="23"/>
      <name val="Arial"/>
      <family val="2"/>
    </font>
    <font>
      <sz val="8"/>
      <color indexed="12"/>
      <name val="Arial"/>
      <family val="2"/>
    </font>
    <font>
      <sz val="8"/>
      <color indexed="23"/>
      <name val="Arial"/>
      <family val="2"/>
    </font>
    <font>
      <i/>
      <sz val="9"/>
      <name val="Arial"/>
      <family val="2"/>
    </font>
    <font>
      <b/>
      <sz val="9"/>
      <color indexed="23"/>
      <name val="Arial"/>
      <family val="2"/>
    </font>
    <font>
      <b/>
      <sz val="11"/>
      <name val="Arial"/>
      <family val="2"/>
    </font>
  </fonts>
  <fills count="8">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30"/>
        <bgColor indexed="64"/>
      </patternFill>
    </fill>
  </fills>
  <borders count="53">
    <border>
      <left/>
      <right/>
      <top/>
      <bottom/>
      <diagonal/>
    </border>
    <border>
      <left style="thin"/>
      <right style="thin"/>
      <top style="thin"/>
      <bottom style="thin"/>
    </border>
    <border>
      <left style="medium">
        <color indexed="8"/>
      </left>
      <right style="medium">
        <color indexed="8"/>
      </right>
      <top style="medium">
        <color indexed="8"/>
      </top>
      <bottom style="medium">
        <color indexed="8"/>
      </bottom>
    </border>
    <border>
      <left>
        <color indexed="63"/>
      </left>
      <right style="double">
        <color indexed="38"/>
      </right>
      <top>
        <color indexed="63"/>
      </top>
      <bottom>
        <color indexed="63"/>
      </bottom>
    </border>
    <border>
      <left style="double">
        <color indexed="38"/>
      </left>
      <right>
        <color indexed="63"/>
      </right>
      <top style="double">
        <color indexed="38"/>
      </top>
      <bottom>
        <color indexed="63"/>
      </bottom>
    </border>
    <border>
      <left>
        <color indexed="63"/>
      </left>
      <right>
        <color indexed="63"/>
      </right>
      <top style="double">
        <color indexed="38"/>
      </top>
      <bottom>
        <color indexed="63"/>
      </bottom>
    </border>
    <border>
      <left>
        <color indexed="63"/>
      </left>
      <right style="double">
        <color indexed="38"/>
      </right>
      <top style="double">
        <color indexed="38"/>
      </top>
      <bottom>
        <color indexed="63"/>
      </bottom>
    </border>
    <border>
      <left style="double">
        <color indexed="38"/>
      </left>
      <right>
        <color indexed="63"/>
      </right>
      <top>
        <color indexed="63"/>
      </top>
      <bottom>
        <color indexed="63"/>
      </bottom>
    </border>
    <border>
      <left style="double">
        <color indexed="38"/>
      </left>
      <right>
        <color indexed="63"/>
      </right>
      <top>
        <color indexed="63"/>
      </top>
      <bottom style="double">
        <color indexed="38"/>
      </bottom>
    </border>
    <border>
      <left>
        <color indexed="63"/>
      </left>
      <right>
        <color indexed="63"/>
      </right>
      <top>
        <color indexed="63"/>
      </top>
      <bottom style="double">
        <color indexed="38"/>
      </bottom>
    </border>
    <border>
      <left>
        <color indexed="63"/>
      </left>
      <right style="double">
        <color indexed="38"/>
      </right>
      <top>
        <color indexed="63"/>
      </top>
      <bottom style="double">
        <color indexed="38"/>
      </bottom>
    </border>
    <border>
      <left style="medium"/>
      <right style="medium"/>
      <top style="medium"/>
      <bottom style="medium"/>
    </border>
    <border>
      <left>
        <color indexed="63"/>
      </left>
      <right>
        <color indexed="63"/>
      </right>
      <top>
        <color indexed="63"/>
      </top>
      <bottom style="double"/>
    </border>
    <border>
      <left style="thin"/>
      <right style="thin"/>
      <top>
        <color indexed="63"/>
      </top>
      <bottom style="medium"/>
    </border>
    <border>
      <left style="thin"/>
      <right style="thin"/>
      <top style="thin"/>
      <bottom>
        <color indexed="63"/>
      </bottom>
    </border>
    <border>
      <left>
        <color indexed="63"/>
      </left>
      <right style="thin"/>
      <top style="double"/>
      <bottom>
        <color indexed="63"/>
      </bottom>
    </border>
    <border>
      <left>
        <color indexed="63"/>
      </left>
      <right>
        <color indexed="63"/>
      </right>
      <top style="medium"/>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medium"/>
      <bottom style="thin"/>
    </border>
    <border>
      <left style="thin"/>
      <right>
        <color indexed="63"/>
      </right>
      <top style="thin"/>
      <bottom style="thin"/>
    </border>
    <border>
      <left>
        <color indexed="63"/>
      </left>
      <right style="thin"/>
      <top style="double"/>
      <bottom style="thin">
        <color indexed="22"/>
      </bottom>
    </border>
    <border>
      <left>
        <color indexed="63"/>
      </left>
      <right style="thin"/>
      <top style="thin">
        <color indexed="22"/>
      </top>
      <bottom style="thin">
        <color indexed="22"/>
      </bottom>
    </border>
    <border>
      <left>
        <color indexed="63"/>
      </left>
      <right style="thin"/>
      <top>
        <color indexed="63"/>
      </top>
      <bottom style="double"/>
    </border>
    <border>
      <left>
        <color indexed="63"/>
      </left>
      <right style="thin"/>
      <top style="thin"/>
      <bottom style="thin"/>
    </border>
    <border>
      <left>
        <color indexed="63"/>
      </left>
      <right style="double">
        <color indexed="21"/>
      </right>
      <top>
        <color indexed="63"/>
      </top>
      <bottom style="double">
        <color indexed="21"/>
      </bottom>
    </border>
    <border>
      <left style="medium">
        <color indexed="30"/>
      </left>
      <right style="medium">
        <color indexed="30"/>
      </right>
      <top style="medium">
        <color indexed="30"/>
      </top>
      <bottom style="medium">
        <color indexed="30"/>
      </bottom>
    </border>
    <border>
      <left style="thin"/>
      <right style="thin"/>
      <top>
        <color indexed="63"/>
      </top>
      <bottom style="double"/>
    </border>
    <border>
      <left style="thin"/>
      <right>
        <color indexed="63"/>
      </right>
      <top>
        <color indexed="63"/>
      </top>
      <bottom style="double"/>
    </border>
    <border>
      <left style="thin">
        <color indexed="63"/>
      </left>
      <right style="thin">
        <color indexed="63"/>
      </right>
      <top>
        <color indexed="63"/>
      </top>
      <bottom style="double"/>
    </border>
    <border>
      <left style="thin"/>
      <right style="thin">
        <color indexed="55"/>
      </right>
      <top>
        <color indexed="63"/>
      </top>
      <bottom style="double"/>
    </border>
    <border>
      <left style="thin">
        <color indexed="55"/>
      </left>
      <right style="thin">
        <color indexed="55"/>
      </right>
      <top>
        <color indexed="63"/>
      </top>
      <bottom style="double"/>
    </border>
    <border>
      <left style="thin"/>
      <right style="thin">
        <color indexed="55"/>
      </right>
      <top style="double"/>
      <bottom style="thin">
        <color indexed="55"/>
      </bottom>
    </border>
    <border>
      <left style="thin">
        <color indexed="55"/>
      </left>
      <right style="thin">
        <color indexed="55"/>
      </right>
      <top style="double"/>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color indexed="63"/>
      </left>
      <right>
        <color indexed="63"/>
      </right>
      <top style="double"/>
      <bottom>
        <color indexed="63"/>
      </bottom>
    </border>
    <border>
      <left>
        <color indexed="63"/>
      </left>
      <right>
        <color indexed="63"/>
      </right>
      <top style="thin"/>
      <bottom style="thin"/>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color indexed="63"/>
      </bottom>
    </border>
    <border>
      <left>
        <color indexed="63"/>
      </left>
      <right>
        <color indexed="63"/>
      </right>
      <top style="thin">
        <color indexed="22"/>
      </top>
      <bottom>
        <color indexed="63"/>
      </bottom>
    </border>
    <border>
      <left style="thin"/>
      <right>
        <color indexed="63"/>
      </right>
      <top style="double"/>
      <bottom style="thin">
        <color indexed="22"/>
      </bottom>
    </border>
    <border>
      <left>
        <color indexed="63"/>
      </left>
      <right>
        <color indexed="63"/>
      </right>
      <top style="double"/>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541">
    <xf numFmtId="0" fontId="0" fillId="0" borderId="0" xfId="0" applyAlignment="1">
      <alignment/>
    </xf>
    <xf numFmtId="0" fontId="3"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2"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2" borderId="1"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quotePrefix="1">
      <alignment/>
      <protection/>
    </xf>
    <xf numFmtId="0" fontId="12"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quotePrefix="1">
      <alignment horizontal="right"/>
      <protection/>
    </xf>
    <xf numFmtId="0" fontId="0" fillId="0" borderId="0" xfId="0" applyNumberFormat="1" applyFont="1" applyFill="1" applyBorder="1" applyAlignment="1" applyProtection="1" quotePrefix="1">
      <alignment horizontal="center"/>
      <protection/>
    </xf>
    <xf numFmtId="0" fontId="0" fillId="0" borderId="0" xfId="0" applyNumberFormat="1" applyFont="1" applyFill="1" applyBorder="1" applyAlignment="1" applyProtection="1" quotePrefix="1">
      <alignment horizontal="left"/>
      <protection/>
    </xf>
    <xf numFmtId="0" fontId="1" fillId="0" borderId="0" xfId="0" applyNumberFormat="1" applyFont="1" applyFill="1" applyBorder="1" applyAlignment="1" applyProtection="1" quotePrefix="1">
      <alignment/>
      <protection/>
    </xf>
    <xf numFmtId="0" fontId="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4" fontId="0"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left"/>
      <protection/>
    </xf>
    <xf numFmtId="0" fontId="13" fillId="0" borderId="0" xfId="0" applyNumberFormat="1" applyFont="1" applyFill="1" applyBorder="1" applyAlignment="1" applyProtection="1">
      <alignment horizontal="left"/>
      <protection/>
    </xf>
    <xf numFmtId="0" fontId="14" fillId="0" borderId="0"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center"/>
      <protection/>
    </xf>
    <xf numFmtId="0" fontId="0" fillId="2" borderId="2" xfId="0" applyNumberFormat="1" applyFont="1" applyFill="1" applyBorder="1" applyAlignment="1" applyProtection="1">
      <alignment horizontal="center"/>
      <protection locked="0"/>
    </xf>
    <xf numFmtId="0" fontId="0" fillId="0" borderId="3" xfId="0" applyNumberFormat="1" applyFont="1" applyFill="1" applyBorder="1" applyAlignment="1" applyProtection="1">
      <alignment/>
      <protection/>
    </xf>
    <xf numFmtId="0" fontId="1" fillId="0" borderId="3" xfId="0" applyNumberFormat="1" applyFont="1" applyFill="1" applyBorder="1" applyAlignment="1" applyProtection="1">
      <alignment/>
      <protection/>
    </xf>
    <xf numFmtId="0" fontId="16" fillId="0" borderId="0" xfId="0" applyNumberFormat="1" applyFont="1" applyFill="1" applyBorder="1" applyAlignment="1" applyProtection="1">
      <alignment horizontal="center"/>
      <protection/>
    </xf>
    <xf numFmtId="0" fontId="0" fillId="0" borderId="0" xfId="0" applyFont="1" applyFill="1" applyAlignment="1" applyProtection="1">
      <alignment/>
      <protection/>
    </xf>
    <xf numFmtId="0" fontId="0" fillId="0" borderId="4" xfId="0" applyFont="1" applyFill="1" applyBorder="1" applyAlignment="1" applyProtection="1">
      <alignment/>
      <protection/>
    </xf>
    <xf numFmtId="0" fontId="0" fillId="0" borderId="5" xfId="0" applyFont="1" applyFill="1" applyBorder="1" applyAlignment="1" applyProtection="1">
      <alignment/>
      <protection/>
    </xf>
    <xf numFmtId="0" fontId="0" fillId="0" borderId="6" xfId="0" applyFont="1" applyFill="1" applyBorder="1" applyAlignment="1" applyProtection="1">
      <alignment/>
      <protection/>
    </xf>
    <xf numFmtId="0" fontId="0" fillId="0" borderId="7" xfId="0" applyFont="1" applyFill="1" applyBorder="1" applyAlignment="1" applyProtection="1">
      <alignment/>
      <protection/>
    </xf>
    <xf numFmtId="0" fontId="0" fillId="0" borderId="0" xfId="0" applyFont="1" applyFill="1" applyBorder="1" applyAlignment="1" applyProtection="1">
      <alignment/>
      <protection/>
    </xf>
    <xf numFmtId="0" fontId="0" fillId="0" borderId="3" xfId="0" applyFont="1" applyFill="1" applyBorder="1" applyAlignment="1" applyProtection="1">
      <alignment/>
      <protection/>
    </xf>
    <xf numFmtId="0" fontId="0" fillId="0" borderId="8" xfId="0" applyFont="1" applyFill="1" applyBorder="1" applyAlignment="1" applyProtection="1">
      <alignment/>
      <protection/>
    </xf>
    <xf numFmtId="0" fontId="0" fillId="0" borderId="9" xfId="0" applyFont="1" applyFill="1" applyBorder="1" applyAlignment="1" applyProtection="1">
      <alignment/>
      <protection/>
    </xf>
    <xf numFmtId="0" fontId="0" fillId="0" borderId="10" xfId="0" applyFont="1" applyFill="1" applyBorder="1" applyAlignment="1" applyProtection="1">
      <alignment/>
      <protection/>
    </xf>
    <xf numFmtId="0" fontId="0" fillId="2" borderId="11" xfId="0" applyNumberFormat="1" applyFont="1" applyFill="1" applyBorder="1" applyAlignment="1" applyProtection="1">
      <alignment horizontal="center"/>
      <protection locked="0"/>
    </xf>
    <xf numFmtId="0" fontId="0" fillId="0" borderId="0"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2" borderId="1" xfId="0" applyNumberFormat="1" applyFont="1" applyFill="1" applyBorder="1" applyAlignment="1" applyProtection="1">
      <alignment horizontal="left"/>
      <protection locked="0"/>
    </xf>
    <xf numFmtId="0" fontId="0" fillId="0" borderId="12" xfId="0" applyNumberFormat="1" applyFont="1" applyFill="1" applyBorder="1" applyAlignment="1" applyProtection="1">
      <alignment horizontal="left"/>
      <protection/>
    </xf>
    <xf numFmtId="0" fontId="7" fillId="0" borderId="1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2" fontId="0" fillId="0" borderId="9" xfId="0" applyNumberFormat="1" applyFont="1" applyFill="1" applyBorder="1" applyAlignment="1" applyProtection="1">
      <alignment horizontal="center"/>
      <protection/>
    </xf>
    <xf numFmtId="2" fontId="0" fillId="0" borderId="0"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protection/>
    </xf>
    <xf numFmtId="0" fontId="0" fillId="0" borderId="1" xfId="0" applyNumberFormat="1" applyFont="1" applyFill="1" applyBorder="1" applyAlignment="1" applyProtection="1">
      <alignment horizontal="center"/>
      <protection/>
    </xf>
    <xf numFmtId="0" fontId="0" fillId="2" borderId="1" xfId="0" applyNumberFormat="1" applyFont="1" applyFill="1" applyBorder="1" applyAlignment="1" applyProtection="1">
      <alignment horizontal="left"/>
      <protection locked="0"/>
    </xf>
    <xf numFmtId="0" fontId="0" fillId="2" borderId="1" xfId="0" applyNumberFormat="1" applyFont="1" applyFill="1" applyBorder="1" applyAlignment="1" applyProtection="1">
      <alignment horizontal="left"/>
      <protection locked="0"/>
    </xf>
    <xf numFmtId="0" fontId="0" fillId="0" borderId="12" xfId="0" applyNumberFormat="1" applyFont="1" applyFill="1" applyBorder="1" applyAlignment="1" applyProtection="1">
      <alignment horizontal="left"/>
      <protection/>
    </xf>
    <xf numFmtId="0" fontId="7" fillId="0" borderId="13" xfId="0" applyNumberFormat="1" applyFont="1" applyFill="1" applyBorder="1" applyAlignment="1" applyProtection="1">
      <alignment horizontal="center"/>
      <protection/>
    </xf>
    <xf numFmtId="2" fontId="8" fillId="0" borderId="0" xfId="0" applyNumberFormat="1" applyFont="1" applyFill="1" applyBorder="1" applyAlignment="1" applyProtection="1">
      <alignment/>
      <protection/>
    </xf>
    <xf numFmtId="0" fontId="21" fillId="0" borderId="0" xfId="0" applyFont="1" applyFill="1" applyBorder="1" applyAlignment="1" applyProtection="1">
      <alignment/>
      <protection/>
    </xf>
    <xf numFmtId="0" fontId="21" fillId="0" borderId="0" xfId="0" applyFont="1" applyFill="1" applyBorder="1" applyAlignment="1" applyProtection="1">
      <alignment horizontal="center"/>
      <protection/>
    </xf>
    <xf numFmtId="0" fontId="0" fillId="0" borderId="14" xfId="0" applyNumberFormat="1" applyFont="1" applyFill="1" applyBorder="1" applyAlignment="1" applyProtection="1">
      <alignment horizontal="center"/>
      <protection/>
    </xf>
    <xf numFmtId="0" fontId="0" fillId="0" borderId="1"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2" fontId="0" fillId="0" borderId="9"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2" fontId="0" fillId="0" borderId="0" xfId="0" applyNumberFormat="1" applyFont="1" applyFill="1" applyBorder="1" applyAlignment="1" applyProtection="1">
      <alignment horizontal="center"/>
      <protection/>
    </xf>
    <xf numFmtId="0" fontId="17" fillId="0" borderId="0" xfId="0" applyFont="1" applyFill="1" applyBorder="1" applyAlignment="1" applyProtection="1">
      <alignment horizontal="right" vertical="center"/>
      <protection/>
    </xf>
    <xf numFmtId="0" fontId="0" fillId="2" borderId="1" xfId="0" applyNumberFormat="1" applyFont="1" applyFill="1" applyBorder="1" applyAlignment="1" applyProtection="1">
      <alignment/>
      <protection locked="0"/>
    </xf>
    <xf numFmtId="0" fontId="8" fillId="2" borderId="1" xfId="0" applyNumberFormat="1" applyFont="1" applyFill="1" applyBorder="1" applyAlignment="1" applyProtection="1">
      <alignment/>
      <protection locked="0"/>
    </xf>
    <xf numFmtId="0" fontId="0" fillId="0" borderId="15" xfId="0" applyNumberFormat="1" applyFont="1" applyFill="1" applyBorder="1" applyAlignment="1" applyProtection="1">
      <alignment horizontal="right"/>
      <protection/>
    </xf>
    <xf numFmtId="0" fontId="0" fillId="0" borderId="15" xfId="0" applyNumberFormat="1" applyFont="1" applyFill="1" applyBorder="1" applyAlignment="1" applyProtection="1">
      <alignment horizontal="right"/>
      <protection/>
    </xf>
    <xf numFmtId="0" fontId="1" fillId="0" borderId="9"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0" fillId="2" borderId="1" xfId="0" applyNumberFormat="1" applyFont="1" applyFill="1" applyBorder="1" applyAlignment="1" applyProtection="1">
      <alignment/>
      <protection locked="0"/>
    </xf>
    <xf numFmtId="2" fontId="0" fillId="0" borderId="0" xfId="0" applyNumberFormat="1" applyFont="1" applyFill="1" applyBorder="1" applyAlignment="1" applyProtection="1">
      <alignment/>
      <protection/>
    </xf>
    <xf numFmtId="0" fontId="2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protection/>
    </xf>
    <xf numFmtId="0" fontId="27" fillId="0" borderId="0" xfId="0" applyFont="1" applyFill="1" applyBorder="1" applyAlignment="1" applyProtection="1">
      <alignment/>
      <protection/>
    </xf>
    <xf numFmtId="0" fontId="7" fillId="0" borderId="16" xfId="0" applyNumberFormat="1" applyFont="1" applyFill="1" applyBorder="1" applyAlignment="1" applyProtection="1">
      <alignment/>
      <protection/>
    </xf>
    <xf numFmtId="0" fontId="31" fillId="0" borderId="0" xfId="0" applyNumberFormat="1" applyFont="1" applyFill="1" applyBorder="1" applyAlignment="1" applyProtection="1">
      <alignment/>
      <protection/>
    </xf>
    <xf numFmtId="0" fontId="0" fillId="2" borderId="1" xfId="0" applyNumberFormat="1" applyFont="1" applyFill="1" applyBorder="1" applyAlignment="1" applyProtection="1">
      <alignment/>
      <protection locked="0"/>
    </xf>
    <xf numFmtId="0" fontId="32"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2" fontId="31" fillId="0" borderId="0" xfId="0" applyNumberFormat="1" applyFont="1" applyFill="1" applyBorder="1" applyAlignment="1" applyProtection="1">
      <alignment/>
      <protection/>
    </xf>
    <xf numFmtId="2"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right"/>
      <protection/>
    </xf>
    <xf numFmtId="0" fontId="7" fillId="0" borderId="12" xfId="0" applyNumberFormat="1" applyFont="1" applyFill="1" applyBorder="1" applyAlignment="1" applyProtection="1">
      <alignment horizontal="right"/>
      <protection/>
    </xf>
    <xf numFmtId="0" fontId="7" fillId="0" borderId="0" xfId="0" applyFont="1" applyFill="1" applyBorder="1" applyAlignment="1" applyProtection="1">
      <alignment horizontal="right"/>
      <protection/>
    </xf>
    <xf numFmtId="0" fontId="7"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right"/>
      <protection/>
    </xf>
    <xf numFmtId="0" fontId="0" fillId="0" borderId="0" xfId="0" applyNumberFormat="1" applyFont="1" applyFill="1" applyBorder="1" applyAlignment="1" applyProtection="1">
      <alignment/>
      <protection/>
    </xf>
    <xf numFmtId="0" fontId="37"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39" fillId="0" borderId="0" xfId="0" applyNumberFormat="1" applyFont="1" applyFill="1" applyBorder="1" applyAlignment="1" applyProtection="1">
      <alignment horizontal="right"/>
      <protection/>
    </xf>
    <xf numFmtId="0" fontId="0" fillId="2" borderId="18" xfId="0" applyNumberFormat="1" applyFont="1" applyFill="1" applyBorder="1" applyAlignment="1" applyProtection="1">
      <alignment horizontal="left"/>
      <protection locked="0"/>
    </xf>
    <xf numFmtId="0" fontId="0" fillId="2" borderId="18" xfId="0" applyNumberFormat="1" applyFont="1" applyFill="1" applyBorder="1" applyAlignment="1" applyProtection="1">
      <alignment horizontal="left"/>
      <protection locked="0"/>
    </xf>
    <xf numFmtId="0" fontId="21" fillId="0" borderId="3" xfId="0" applyFont="1" applyFill="1" applyBorder="1" applyAlignment="1" applyProtection="1">
      <alignment horizontal="center"/>
      <protection/>
    </xf>
    <xf numFmtId="0" fontId="0" fillId="0" borderId="0" xfId="0" applyFill="1" applyBorder="1" applyAlignment="1" applyProtection="1">
      <alignment/>
      <protection/>
    </xf>
    <xf numFmtId="0" fontId="27" fillId="0" borderId="0" xfId="0" applyFont="1" applyFill="1" applyBorder="1" applyAlignment="1" applyProtection="1">
      <alignment/>
      <protection/>
    </xf>
    <xf numFmtId="0" fontId="6"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right"/>
      <protection/>
    </xf>
    <xf numFmtId="0" fontId="7" fillId="0" borderId="0" xfId="0" applyNumberFormat="1" applyFont="1" applyFill="1" applyBorder="1" applyAlignment="1" applyProtection="1">
      <alignment horizontal="right"/>
      <protection/>
    </xf>
    <xf numFmtId="0" fontId="41" fillId="0" borderId="0" xfId="0" applyNumberFormat="1" applyFont="1" applyFill="1" applyBorder="1" applyAlignment="1" applyProtection="1">
      <alignment horizontal="right"/>
      <protection/>
    </xf>
    <xf numFmtId="0" fontId="3" fillId="2" borderId="1" xfId="0" applyNumberFormat="1" applyFont="1" applyFill="1" applyBorder="1" applyAlignment="1" applyProtection="1">
      <alignment horizontal="center"/>
      <protection locked="0"/>
    </xf>
    <xf numFmtId="0" fontId="3" fillId="2" borderId="1" xfId="0" applyNumberFormat="1" applyFont="1" applyFill="1" applyBorder="1" applyAlignment="1" applyProtection="1">
      <alignment horizontal="right"/>
      <protection locked="0"/>
    </xf>
    <xf numFmtId="0" fontId="3" fillId="0" borderId="0" xfId="0" applyNumberFormat="1" applyFont="1" applyFill="1" applyBorder="1" applyAlignment="1" applyProtection="1">
      <alignment horizontal="lef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4" xfId="0" applyFont="1" applyFill="1" applyBorder="1" applyAlignment="1" applyProtection="1">
      <alignment/>
      <protection/>
    </xf>
    <xf numFmtId="0" fontId="0" fillId="0" borderId="5" xfId="0" applyFont="1" applyFill="1" applyBorder="1" applyAlignment="1" applyProtection="1">
      <alignment/>
      <protection/>
    </xf>
    <xf numFmtId="0" fontId="0" fillId="0" borderId="6" xfId="0" applyFont="1" applyFill="1" applyBorder="1" applyAlignment="1" applyProtection="1">
      <alignment/>
      <protection/>
    </xf>
    <xf numFmtId="0" fontId="0" fillId="0" borderId="7" xfId="0" applyFont="1" applyFill="1" applyBorder="1" applyAlignment="1" applyProtection="1">
      <alignment/>
      <protection/>
    </xf>
    <xf numFmtId="0" fontId="21" fillId="0" borderId="3" xfId="0" applyFont="1" applyFill="1" applyBorder="1" applyAlignment="1" applyProtection="1">
      <alignment/>
      <protection/>
    </xf>
    <xf numFmtId="0" fontId="0" fillId="0" borderId="0" xfId="0" applyFont="1" applyFill="1" applyBorder="1" applyAlignment="1" applyProtection="1">
      <alignment/>
      <protection/>
    </xf>
    <xf numFmtId="0" fontId="0" fillId="0" borderId="3" xfId="0" applyFont="1" applyFill="1" applyBorder="1" applyAlignment="1" applyProtection="1">
      <alignment/>
      <protection/>
    </xf>
    <xf numFmtId="0" fontId="0" fillId="0" borderId="7" xfId="0" applyFont="1" applyFill="1" applyBorder="1" applyAlignment="1" applyProtection="1">
      <alignment/>
      <protection/>
    </xf>
    <xf numFmtId="0" fontId="0" fillId="0" borderId="0" xfId="0" applyFont="1" applyFill="1" applyBorder="1" applyAlignment="1" applyProtection="1">
      <alignment/>
      <protection/>
    </xf>
    <xf numFmtId="0" fontId="0" fillId="0" borderId="3" xfId="0" applyFont="1" applyFill="1" applyBorder="1" applyAlignment="1" applyProtection="1">
      <alignment/>
      <protection/>
    </xf>
    <xf numFmtId="0" fontId="2" fillId="0" borderId="7" xfId="0" applyNumberFormat="1" applyFont="1" applyFill="1" applyBorder="1" applyAlignment="1" applyProtection="1">
      <alignment/>
      <protection/>
    </xf>
    <xf numFmtId="0" fontId="0" fillId="0" borderId="8" xfId="0" applyFont="1" applyFill="1" applyBorder="1" applyAlignment="1" applyProtection="1">
      <alignment/>
      <protection/>
    </xf>
    <xf numFmtId="0" fontId="0" fillId="0" borderId="9" xfId="0" applyFont="1" applyFill="1" applyBorder="1" applyAlignment="1" applyProtection="1">
      <alignment/>
      <protection/>
    </xf>
    <xf numFmtId="0" fontId="0" fillId="0" borderId="10" xfId="0" applyFont="1" applyFill="1" applyBorder="1" applyAlignment="1" applyProtection="1">
      <alignment/>
      <protection/>
    </xf>
    <xf numFmtId="0" fontId="33" fillId="0" borderId="0" xfId="0" applyNumberFormat="1" applyFont="1" applyFill="1" applyBorder="1" applyAlignment="1" applyProtection="1">
      <alignment horizontal="right"/>
      <protection/>
    </xf>
    <xf numFmtId="0" fontId="8" fillId="2" borderId="1" xfId="0" applyNumberFormat="1" applyFont="1" applyFill="1" applyBorder="1" applyAlignment="1" applyProtection="1">
      <alignment/>
      <protection locked="0"/>
    </xf>
    <xf numFmtId="0" fontId="8" fillId="0" borderId="0" xfId="0" applyNumberFormat="1" applyFont="1" applyFill="1" applyBorder="1" applyAlignment="1" applyProtection="1">
      <alignment horizontal="left"/>
      <protection/>
    </xf>
    <xf numFmtId="0" fontId="8" fillId="0" borderId="0" xfId="0" applyNumberFormat="1" applyFont="1" applyFill="1" applyBorder="1" applyAlignment="1" applyProtection="1">
      <alignment horizontal="right"/>
      <protection/>
    </xf>
    <xf numFmtId="0" fontId="31" fillId="0" borderId="0" xfId="0" applyNumberFormat="1" applyFont="1" applyFill="1" applyBorder="1" applyAlignment="1" applyProtection="1">
      <alignment horizontal="center" vertical="center"/>
      <protection/>
    </xf>
    <xf numFmtId="0" fontId="43" fillId="0" borderId="0" xfId="0" applyNumberFormat="1" applyFont="1" applyFill="1" applyBorder="1" applyAlignment="1" applyProtection="1">
      <alignment horizontal="center"/>
      <protection/>
    </xf>
    <xf numFmtId="0" fontId="0" fillId="0" borderId="0" xfId="0" applyFont="1" applyAlignment="1" applyProtection="1">
      <alignment/>
      <protection/>
    </xf>
    <xf numFmtId="0" fontId="0" fillId="0" borderId="4" xfId="0" applyFont="1" applyBorder="1" applyAlignment="1" applyProtection="1">
      <alignment/>
      <protection/>
    </xf>
    <xf numFmtId="0" fontId="0" fillId="0" borderId="5" xfId="0" applyFont="1" applyBorder="1" applyAlignment="1" applyProtection="1">
      <alignment/>
      <protection/>
    </xf>
    <xf numFmtId="0" fontId="0" fillId="0" borderId="6" xfId="0" applyFont="1" applyBorder="1" applyAlignment="1" applyProtection="1">
      <alignment/>
      <protection/>
    </xf>
    <xf numFmtId="0" fontId="0" fillId="0" borderId="7" xfId="0" applyFont="1" applyBorder="1" applyAlignment="1" applyProtection="1">
      <alignment/>
      <protection/>
    </xf>
    <xf numFmtId="0" fontId="0" fillId="0" borderId="3" xfId="0" applyFont="1" applyBorder="1" applyAlignment="1" applyProtection="1">
      <alignment/>
      <protection/>
    </xf>
    <xf numFmtId="0" fontId="0" fillId="0" borderId="0" xfId="0" applyFont="1" applyBorder="1" applyAlignment="1" applyProtection="1">
      <alignment/>
      <protection/>
    </xf>
    <xf numFmtId="0" fontId="0" fillId="0" borderId="8" xfId="0" applyFont="1" applyBorder="1" applyAlignment="1" applyProtection="1">
      <alignment/>
      <protection/>
    </xf>
    <xf numFmtId="0" fontId="0" fillId="0" borderId="9" xfId="0" applyFont="1" applyBorder="1" applyAlignment="1" applyProtection="1">
      <alignment/>
      <protection/>
    </xf>
    <xf numFmtId="0" fontId="0" fillId="0" borderId="10" xfId="0" applyFont="1" applyBorder="1" applyAlignment="1" applyProtection="1">
      <alignment/>
      <protection/>
    </xf>
    <xf numFmtId="0" fontId="48" fillId="0" borderId="0" xfId="0" applyFont="1" applyBorder="1" applyAlignment="1">
      <alignment vertical="top" wrapText="1"/>
    </xf>
    <xf numFmtId="0" fontId="44" fillId="0" borderId="0" xfId="0" applyFont="1" applyFill="1" applyBorder="1" applyAlignment="1" applyProtection="1">
      <alignment horizontal="center"/>
      <protection/>
    </xf>
    <xf numFmtId="0" fontId="45" fillId="0" borderId="0" xfId="20" applyFont="1" applyFill="1" applyBorder="1" applyAlignment="1" applyProtection="1">
      <alignment horizontal="center"/>
      <protection/>
    </xf>
    <xf numFmtId="0" fontId="19" fillId="0" borderId="0" xfId="0" applyFont="1" applyAlignment="1" applyProtection="1">
      <alignment/>
      <protection/>
    </xf>
    <xf numFmtId="0" fontId="0" fillId="0" borderId="0" xfId="0" applyAlignment="1" applyProtection="1">
      <alignment/>
      <protection/>
    </xf>
    <xf numFmtId="0" fontId="0" fillId="0" borderId="4" xfId="0" applyBorder="1" applyAlignment="1" applyProtection="1">
      <alignment/>
      <protection/>
    </xf>
    <xf numFmtId="0" fontId="0" fillId="0" borderId="5" xfId="0" applyBorder="1" applyAlignment="1" applyProtection="1">
      <alignment/>
      <protection/>
    </xf>
    <xf numFmtId="0" fontId="0" fillId="0" borderId="6" xfId="0" applyBorder="1" applyAlignment="1" applyProtection="1">
      <alignment/>
      <protection/>
    </xf>
    <xf numFmtId="0" fontId="0" fillId="0" borderId="7" xfId="0" applyBorder="1" applyAlignment="1" applyProtection="1">
      <alignment/>
      <protection/>
    </xf>
    <xf numFmtId="0" fontId="0" fillId="0" borderId="3" xfId="0" applyBorder="1" applyAlignment="1" applyProtection="1">
      <alignment/>
      <protection/>
    </xf>
    <xf numFmtId="0" fontId="0" fillId="0" borderId="0" xfId="0" applyBorder="1" applyAlignment="1" applyProtection="1">
      <alignment/>
      <protection/>
    </xf>
    <xf numFmtId="0" fontId="0" fillId="0" borderId="12" xfId="0" applyFont="1" applyBorder="1" applyAlignment="1" applyProtection="1">
      <alignment/>
      <protection/>
    </xf>
    <xf numFmtId="0" fontId="27" fillId="0" borderId="0" xfId="0" applyFont="1" applyBorder="1" applyAlignment="1" applyProtection="1">
      <alignment/>
      <protection/>
    </xf>
    <xf numFmtId="0" fontId="0" fillId="0" borderId="8" xfId="0" applyBorder="1" applyAlignment="1" applyProtection="1">
      <alignment/>
      <protection/>
    </xf>
    <xf numFmtId="0" fontId="0" fillId="0" borderId="9" xfId="0" applyBorder="1" applyAlignment="1" applyProtection="1">
      <alignment/>
      <protection/>
    </xf>
    <xf numFmtId="0" fontId="0" fillId="0" borderId="10" xfId="0" applyBorder="1" applyAlignment="1" applyProtection="1">
      <alignment/>
      <protection/>
    </xf>
    <xf numFmtId="0" fontId="0" fillId="2" borderId="1" xfId="0" applyFont="1" applyFill="1" applyBorder="1" applyAlignment="1" applyProtection="1">
      <alignment/>
      <protection locked="0"/>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12" xfId="0" applyFont="1" applyBorder="1" applyAlignment="1" applyProtection="1">
      <alignment/>
      <protection/>
    </xf>
    <xf numFmtId="0" fontId="0" fillId="0" borderId="0" xfId="0" applyFont="1" applyAlignment="1" applyProtection="1">
      <alignment/>
      <protection/>
    </xf>
    <xf numFmtId="0" fontId="0" fillId="2" borderId="1" xfId="0" applyFont="1" applyFill="1" applyBorder="1" applyAlignment="1" applyProtection="1">
      <alignment/>
      <protection locked="0"/>
    </xf>
    <xf numFmtId="0" fontId="46" fillId="0" borderId="0" xfId="0" applyFont="1" applyFill="1" applyBorder="1" applyAlignment="1" applyProtection="1">
      <alignment horizontal="center"/>
      <protection/>
    </xf>
    <xf numFmtId="0" fontId="0" fillId="0" borderId="0" xfId="0" applyBorder="1" applyAlignment="1">
      <alignment horizontal="center"/>
    </xf>
    <xf numFmtId="0" fontId="27" fillId="0" borderId="0" xfId="0" applyFont="1" applyAlignment="1" applyProtection="1">
      <alignment/>
      <protection/>
    </xf>
    <xf numFmtId="0" fontId="1" fillId="0" borderId="8" xfId="0" applyFont="1" applyBorder="1" applyAlignment="1" applyProtection="1">
      <alignment/>
      <protection/>
    </xf>
    <xf numFmtId="0" fontId="1" fillId="0" borderId="9" xfId="0" applyFont="1" applyBorder="1" applyAlignment="1" applyProtection="1">
      <alignment/>
      <protection/>
    </xf>
    <xf numFmtId="0" fontId="1" fillId="0" borderId="10" xfId="0" applyFont="1" applyBorder="1" applyAlignment="1" applyProtection="1">
      <alignment/>
      <protection/>
    </xf>
    <xf numFmtId="0" fontId="1" fillId="0" borderId="0" xfId="0" applyFont="1" applyAlignment="1" applyProtection="1">
      <alignment/>
      <protection/>
    </xf>
    <xf numFmtId="0" fontId="1" fillId="3" borderId="0" xfId="0" applyFont="1" applyFill="1" applyAlignment="1" applyProtection="1">
      <alignment/>
      <protection/>
    </xf>
    <xf numFmtId="0" fontId="1" fillId="0" borderId="0" xfId="0" applyFont="1" applyAlignment="1" applyProtection="1">
      <alignment shrinkToFit="1"/>
      <protection/>
    </xf>
    <xf numFmtId="0" fontId="1" fillId="4" borderId="0" xfId="0" applyFont="1" applyFill="1" applyAlignment="1" applyProtection="1">
      <alignment/>
      <protection/>
    </xf>
    <xf numFmtId="0" fontId="28" fillId="0" borderId="0" xfId="0" applyFont="1" applyAlignment="1" applyProtection="1">
      <alignment/>
      <protection/>
    </xf>
    <xf numFmtId="0" fontId="28" fillId="0" borderId="0" xfId="0" applyFont="1" applyBorder="1" applyAlignment="1" applyProtection="1">
      <alignment/>
      <protection/>
    </xf>
    <xf numFmtId="0" fontId="29" fillId="0" borderId="0" xfId="0" applyFont="1" applyAlignment="1" applyProtection="1">
      <alignment/>
      <protection/>
    </xf>
    <xf numFmtId="0" fontId="29" fillId="4" borderId="14" xfId="0" applyFont="1" applyFill="1" applyBorder="1" applyAlignment="1" applyProtection="1">
      <alignment horizontal="center"/>
      <protection/>
    </xf>
    <xf numFmtId="0" fontId="29" fillId="0" borderId="0" xfId="0" applyFont="1" applyBorder="1" applyAlignment="1" applyProtection="1">
      <alignment/>
      <protection/>
    </xf>
    <xf numFmtId="0" fontId="29" fillId="4" borderId="18" xfId="0" applyFont="1" applyFill="1" applyBorder="1" applyAlignment="1" applyProtection="1">
      <alignment/>
      <protection/>
    </xf>
    <xf numFmtId="0" fontId="29" fillId="4" borderId="19" xfId="0" applyFont="1" applyFill="1" applyBorder="1" applyAlignment="1" applyProtection="1">
      <alignment horizontal="center"/>
      <protection/>
    </xf>
    <xf numFmtId="0" fontId="29" fillId="0" borderId="19" xfId="0" applyFont="1" applyBorder="1" applyAlignment="1" applyProtection="1">
      <alignment/>
      <protection/>
    </xf>
    <xf numFmtId="0" fontId="29" fillId="3" borderId="20" xfId="0" applyFont="1" applyFill="1" applyBorder="1" applyAlignment="1" applyProtection="1">
      <alignment horizontal="center"/>
      <protection/>
    </xf>
    <xf numFmtId="0" fontId="29" fillId="4" borderId="21" xfId="0" applyFont="1" applyFill="1" applyBorder="1" applyAlignment="1" applyProtection="1">
      <alignment horizontal="center"/>
      <protection/>
    </xf>
    <xf numFmtId="0" fontId="29" fillId="3" borderId="19" xfId="0" applyFont="1" applyFill="1" applyBorder="1" applyAlignment="1" applyProtection="1">
      <alignment horizontal="right"/>
      <protection/>
    </xf>
    <xf numFmtId="0" fontId="29" fillId="3" borderId="22" xfId="0" applyFont="1" applyFill="1" applyBorder="1" applyAlignment="1" applyProtection="1">
      <alignment horizontal="center"/>
      <protection/>
    </xf>
    <xf numFmtId="0" fontId="29" fillId="4" borderId="23" xfId="0" applyFont="1" applyFill="1" applyBorder="1" applyAlignment="1" applyProtection="1">
      <alignment horizontal="center"/>
      <protection/>
    </xf>
    <xf numFmtId="0" fontId="29" fillId="3" borderId="18" xfId="0" applyFont="1" applyFill="1" applyBorder="1" applyAlignment="1" applyProtection="1">
      <alignment/>
      <protection/>
    </xf>
    <xf numFmtId="0" fontId="1" fillId="0" borderId="0" xfId="0" applyFont="1" applyBorder="1" applyAlignment="1" applyProtection="1">
      <alignment/>
      <protection/>
    </xf>
    <xf numFmtId="0" fontId="13" fillId="0" borderId="0" xfId="0" applyFont="1" applyAlignment="1" applyProtection="1">
      <alignment/>
      <protection/>
    </xf>
    <xf numFmtId="0" fontId="37" fillId="0" borderId="0" xfId="0" applyFont="1" applyAlignment="1" applyProtection="1">
      <alignment/>
      <protection/>
    </xf>
    <xf numFmtId="0" fontId="1" fillId="3" borderId="20" xfId="0" applyFont="1" applyFill="1" applyBorder="1" applyAlignment="1" applyProtection="1">
      <alignment horizontal="center"/>
      <protection/>
    </xf>
    <xf numFmtId="0" fontId="1" fillId="4" borderId="21" xfId="0" applyFont="1" applyFill="1" applyBorder="1" applyAlignment="1" applyProtection="1">
      <alignment horizontal="center"/>
      <protection/>
    </xf>
    <xf numFmtId="0" fontId="1" fillId="4" borderId="14" xfId="0" applyFont="1" applyFill="1" applyBorder="1" applyAlignment="1" applyProtection="1">
      <alignment horizontal="center"/>
      <protection/>
    </xf>
    <xf numFmtId="0" fontId="1" fillId="3" borderId="22" xfId="0" applyFont="1" applyFill="1" applyBorder="1" applyAlignment="1" applyProtection="1">
      <alignment horizontal="center"/>
      <protection/>
    </xf>
    <xf numFmtId="0" fontId="1" fillId="4" borderId="23" xfId="0" applyFont="1" applyFill="1" applyBorder="1" applyAlignment="1" applyProtection="1">
      <alignment horizontal="center"/>
      <protection/>
    </xf>
    <xf numFmtId="0" fontId="1" fillId="4" borderId="18" xfId="0" applyFont="1" applyFill="1" applyBorder="1" applyAlignment="1" applyProtection="1">
      <alignment horizontal="center"/>
      <protection/>
    </xf>
    <xf numFmtId="0" fontId="1" fillId="3" borderId="24" xfId="0" applyFont="1" applyFill="1" applyBorder="1" applyAlignment="1" applyProtection="1">
      <alignment horizontal="center"/>
      <protection/>
    </xf>
    <xf numFmtId="2" fontId="1" fillId="4" borderId="17" xfId="0" applyNumberFormat="1"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4" xfId="0" applyFont="1" applyBorder="1" applyAlignment="1" applyProtection="1">
      <alignment horizontal="center"/>
      <protection/>
    </xf>
    <xf numFmtId="0" fontId="1" fillId="0" borderId="17" xfId="0" applyFont="1" applyBorder="1" applyAlignment="1" applyProtection="1">
      <alignment/>
      <protection/>
    </xf>
    <xf numFmtId="0" fontId="1" fillId="0" borderId="22" xfId="0" applyFont="1" applyBorder="1" applyAlignment="1" applyProtection="1">
      <alignment/>
      <protection/>
    </xf>
    <xf numFmtId="0" fontId="1" fillId="0" borderId="23" xfId="0" applyFont="1" applyBorder="1" applyAlignment="1" applyProtection="1">
      <alignment/>
      <protection/>
    </xf>
    <xf numFmtId="0" fontId="1" fillId="4" borderId="17" xfId="0" applyFont="1" applyFill="1" applyBorder="1" applyAlignment="1" applyProtection="1">
      <alignment horizontal="center"/>
      <protection/>
    </xf>
    <xf numFmtId="0" fontId="1" fillId="0" borderId="22" xfId="0" applyFont="1" applyBorder="1" applyAlignment="1" applyProtection="1">
      <alignment horizontal="center"/>
      <protection/>
    </xf>
    <xf numFmtId="0" fontId="0" fillId="0" borderId="23" xfId="0" applyBorder="1" applyAlignment="1" applyProtection="1">
      <alignment/>
      <protection/>
    </xf>
    <xf numFmtId="0" fontId="1" fillId="0" borderId="24" xfId="0" applyFont="1" applyFill="1" applyBorder="1" applyAlignment="1" applyProtection="1">
      <alignment horizontal="center"/>
      <protection/>
    </xf>
    <xf numFmtId="0" fontId="0" fillId="0" borderId="17" xfId="0" applyBorder="1" applyAlignment="1" applyProtection="1">
      <alignment/>
      <protection/>
    </xf>
    <xf numFmtId="0" fontId="1" fillId="4" borderId="18" xfId="0" applyFont="1" applyFill="1" applyBorder="1" applyAlignment="1" applyProtection="1">
      <alignment/>
      <protection/>
    </xf>
    <xf numFmtId="0" fontId="1" fillId="0" borderId="22" xfId="0" applyFont="1" applyFill="1" applyBorder="1" applyAlignment="1" applyProtection="1">
      <alignment/>
      <protection/>
    </xf>
    <xf numFmtId="0" fontId="0" fillId="0" borderId="25" xfId="0" applyBorder="1" applyAlignment="1" applyProtection="1">
      <alignment/>
      <protection/>
    </xf>
    <xf numFmtId="0" fontId="0" fillId="3" borderId="22" xfId="0" applyFill="1" applyBorder="1" applyAlignment="1" applyProtection="1">
      <alignment horizontal="center"/>
      <protection/>
    </xf>
    <xf numFmtId="0" fontId="0" fillId="0" borderId="26" xfId="0" applyBorder="1" applyAlignment="1" applyProtection="1">
      <alignment/>
      <protection/>
    </xf>
    <xf numFmtId="0" fontId="0" fillId="4" borderId="23" xfId="0" applyFill="1" applyBorder="1" applyAlignment="1" applyProtection="1">
      <alignment horizontal="center"/>
      <protection/>
    </xf>
    <xf numFmtId="0" fontId="0" fillId="0" borderId="7" xfId="0" applyFont="1" applyBorder="1" applyAlignment="1" applyProtection="1">
      <alignment/>
      <protection/>
    </xf>
    <xf numFmtId="0" fontId="0" fillId="0" borderId="3" xfId="0" applyFont="1" applyBorder="1" applyAlignment="1" applyProtection="1">
      <alignment/>
      <protection/>
    </xf>
    <xf numFmtId="0" fontId="0" fillId="0" borderId="0" xfId="0" applyFont="1" applyAlignment="1" applyProtection="1">
      <alignment/>
      <protection/>
    </xf>
    <xf numFmtId="0" fontId="1" fillId="3" borderId="20" xfId="0" applyFont="1" applyFill="1" applyBorder="1" applyAlignment="1" applyProtection="1">
      <alignment horizontal="center" shrinkToFit="1"/>
      <protection/>
    </xf>
    <xf numFmtId="0" fontId="1" fillId="4" borderId="21" xfId="0" applyFont="1" applyFill="1" applyBorder="1" applyAlignment="1" applyProtection="1">
      <alignment horizontal="center" shrinkToFit="1"/>
      <protection/>
    </xf>
    <xf numFmtId="0" fontId="1" fillId="0" borderId="0" xfId="0" applyFont="1" applyBorder="1" applyAlignment="1" applyProtection="1">
      <alignment shrinkToFit="1"/>
      <protection/>
    </xf>
    <xf numFmtId="0" fontId="1" fillId="4" borderId="14" xfId="0" applyFont="1" applyFill="1" applyBorder="1" applyAlignment="1" applyProtection="1">
      <alignment horizontal="center" shrinkToFit="1"/>
      <protection/>
    </xf>
    <xf numFmtId="0" fontId="1" fillId="0" borderId="0" xfId="0" applyFont="1" applyFill="1" applyBorder="1" applyAlignment="1" applyProtection="1">
      <alignment horizontal="center" shrinkToFit="1"/>
      <protection/>
    </xf>
    <xf numFmtId="0" fontId="1" fillId="3" borderId="22" xfId="0" applyFont="1" applyFill="1" applyBorder="1" applyAlignment="1" applyProtection="1">
      <alignment horizontal="center" shrinkToFit="1"/>
      <protection/>
    </xf>
    <xf numFmtId="0" fontId="1" fillId="4" borderId="23" xfId="0" applyFont="1" applyFill="1" applyBorder="1" applyAlignment="1" applyProtection="1">
      <alignment horizontal="center" shrinkToFit="1"/>
      <protection/>
    </xf>
    <xf numFmtId="0" fontId="1" fillId="4" borderId="18" xfId="0" applyFont="1" applyFill="1" applyBorder="1" applyAlignment="1" applyProtection="1">
      <alignment horizontal="center" shrinkToFit="1"/>
      <protection/>
    </xf>
    <xf numFmtId="0" fontId="1" fillId="3" borderId="24" xfId="0" applyFont="1" applyFill="1" applyBorder="1" applyAlignment="1" applyProtection="1">
      <alignment horizontal="center" shrinkToFit="1"/>
      <protection/>
    </xf>
    <xf numFmtId="2" fontId="1" fillId="4" borderId="17" xfId="0" applyNumberFormat="1" applyFont="1" applyFill="1" applyBorder="1" applyAlignment="1" applyProtection="1">
      <alignment horizontal="center" shrinkToFit="1"/>
      <protection/>
    </xf>
    <xf numFmtId="2" fontId="1" fillId="0" borderId="0" xfId="0" applyNumberFormat="1" applyFont="1" applyFill="1" applyBorder="1" applyAlignment="1" applyProtection="1">
      <alignment horizontal="center" shrinkToFit="1"/>
      <protection/>
    </xf>
    <xf numFmtId="2" fontId="10" fillId="4" borderId="17" xfId="0" applyNumberFormat="1" applyFont="1" applyFill="1" applyBorder="1" applyAlignment="1" applyProtection="1">
      <alignment horizontal="center" shrinkToFit="1"/>
      <protection/>
    </xf>
    <xf numFmtId="0" fontId="1" fillId="0" borderId="0" xfId="0" applyFont="1" applyBorder="1" applyAlignment="1" applyProtection="1">
      <alignment horizontal="center" shrinkToFit="1"/>
      <protection/>
    </xf>
    <xf numFmtId="0" fontId="1" fillId="0" borderId="24" xfId="0" applyFont="1" applyBorder="1" applyAlignment="1" applyProtection="1">
      <alignment horizontal="center" shrinkToFit="1"/>
      <protection/>
    </xf>
    <xf numFmtId="0" fontId="1" fillId="0" borderId="17" xfId="0" applyFont="1" applyBorder="1" applyAlignment="1" applyProtection="1">
      <alignment shrinkToFit="1"/>
      <protection/>
    </xf>
    <xf numFmtId="0" fontId="1" fillId="0" borderId="0" xfId="0" applyFont="1" applyFill="1" applyBorder="1" applyAlignment="1" applyProtection="1">
      <alignment shrinkToFit="1"/>
      <protection/>
    </xf>
    <xf numFmtId="0" fontId="1" fillId="0" borderId="22" xfId="0" applyFont="1" applyBorder="1" applyAlignment="1" applyProtection="1">
      <alignment shrinkToFit="1"/>
      <protection/>
    </xf>
    <xf numFmtId="0" fontId="1" fillId="0" borderId="23" xfId="0" applyFont="1" applyBorder="1" applyAlignment="1" applyProtection="1">
      <alignment shrinkToFit="1"/>
      <protection/>
    </xf>
    <xf numFmtId="0" fontId="1" fillId="4" borderId="17" xfId="0" applyFont="1" applyFill="1" applyBorder="1" applyAlignment="1" applyProtection="1">
      <alignment horizontal="center" shrinkToFit="1"/>
      <protection/>
    </xf>
    <xf numFmtId="0" fontId="1" fillId="0" borderId="22" xfId="0" applyFont="1" applyBorder="1" applyAlignment="1" applyProtection="1">
      <alignment horizontal="center" shrinkToFit="1"/>
      <protection/>
    </xf>
    <xf numFmtId="0" fontId="1" fillId="0" borderId="24" xfId="0" applyFont="1" applyFill="1" applyBorder="1" applyAlignment="1" applyProtection="1">
      <alignment horizontal="center" shrinkToFit="1"/>
      <protection/>
    </xf>
    <xf numFmtId="0" fontId="1" fillId="4" borderId="18" xfId="0" applyFont="1" applyFill="1" applyBorder="1" applyAlignment="1" applyProtection="1">
      <alignment shrinkToFit="1"/>
      <protection/>
    </xf>
    <xf numFmtId="0" fontId="1" fillId="0" borderId="22" xfId="0" applyFont="1" applyFill="1" applyBorder="1" applyAlignment="1" applyProtection="1">
      <alignment shrinkToFit="1"/>
      <protection/>
    </xf>
    <xf numFmtId="0" fontId="1" fillId="0" borderId="25" xfId="0" applyFont="1" applyBorder="1" applyAlignment="1" applyProtection="1">
      <alignment shrinkToFit="1"/>
      <protection/>
    </xf>
    <xf numFmtId="0" fontId="1" fillId="0" borderId="26" xfId="0" applyFont="1" applyBorder="1" applyAlignment="1" applyProtection="1">
      <alignment shrinkToFit="1"/>
      <protection/>
    </xf>
    <xf numFmtId="0" fontId="3" fillId="0" borderId="0" xfId="0" applyFont="1" applyBorder="1" applyAlignment="1">
      <alignment/>
    </xf>
    <xf numFmtId="0" fontId="0" fillId="0" borderId="0" xfId="0" applyBorder="1" applyAlignment="1">
      <alignment vertical="top" wrapText="1"/>
    </xf>
    <xf numFmtId="0" fontId="45" fillId="0" borderId="0" xfId="20" applyFont="1" applyFill="1" applyBorder="1" applyAlignment="1" applyProtection="1">
      <alignment horizontal="right"/>
      <protection/>
    </xf>
    <xf numFmtId="0" fontId="45" fillId="0" borderId="0" xfId="20" applyFont="1" applyFill="1" applyBorder="1" applyAlignment="1" applyProtection="1">
      <alignment horizontal="left"/>
      <protection/>
    </xf>
    <xf numFmtId="0" fontId="49" fillId="0" borderId="0" xfId="0" applyFont="1" applyBorder="1" applyAlignment="1">
      <alignment vertical="top" wrapText="1"/>
    </xf>
    <xf numFmtId="0" fontId="1" fillId="0" borderId="0" xfId="0" applyFont="1" applyBorder="1" applyAlignment="1">
      <alignment/>
    </xf>
    <xf numFmtId="0" fontId="50" fillId="0" borderId="0" xfId="20" applyFont="1" applyBorder="1" applyAlignment="1">
      <alignment horizontal="right"/>
    </xf>
    <xf numFmtId="0" fontId="1" fillId="0" borderId="0" xfId="0" applyFont="1" applyBorder="1" applyAlignment="1">
      <alignment horizontal="center"/>
    </xf>
    <xf numFmtId="0" fontId="0" fillId="0" borderId="5" xfId="0" applyFont="1" applyFill="1" applyBorder="1" applyAlignment="1" applyProtection="1">
      <alignment/>
      <protection/>
    </xf>
    <xf numFmtId="0" fontId="0" fillId="0" borderId="6" xfId="0" applyFont="1" applyFill="1" applyBorder="1" applyAlignment="1" applyProtection="1">
      <alignment/>
      <protection/>
    </xf>
    <xf numFmtId="0" fontId="34" fillId="0" borderId="27" xfId="0" applyNumberFormat="1" applyFont="1" applyFill="1" applyBorder="1" applyAlignment="1" applyProtection="1">
      <alignment horizontal="center"/>
      <protection/>
    </xf>
    <xf numFmtId="0" fontId="48" fillId="0" borderId="0" xfId="0" applyFont="1" applyBorder="1" applyAlignment="1">
      <alignment horizontal="left" vertical="top" wrapText="1"/>
    </xf>
    <xf numFmtId="0" fontId="45" fillId="0" borderId="0" xfId="20" applyFont="1" applyBorder="1" applyAlignment="1">
      <alignment horizontal="right"/>
    </xf>
    <xf numFmtId="0" fontId="0" fillId="0" borderId="0" xfId="0" applyFont="1" applyFill="1" applyAlignment="1" applyProtection="1">
      <alignment/>
      <protection/>
    </xf>
    <xf numFmtId="0" fontId="0" fillId="0" borderId="4" xfId="0" applyFont="1" applyFill="1" applyBorder="1" applyAlignment="1" applyProtection="1">
      <alignment/>
      <protection/>
    </xf>
    <xf numFmtId="0" fontId="47" fillId="0" borderId="0" xfId="0" applyFont="1" applyFill="1" applyBorder="1" applyAlignment="1">
      <alignment horizontal="center"/>
    </xf>
    <xf numFmtId="0" fontId="50" fillId="0" borderId="0" xfId="20" applyFont="1" applyBorder="1" applyAlignment="1">
      <alignment/>
    </xf>
    <xf numFmtId="0" fontId="0" fillId="0" borderId="7" xfId="0" applyFont="1" applyFill="1" applyBorder="1" applyAlignment="1" applyProtection="1">
      <alignment/>
      <protection/>
    </xf>
    <xf numFmtId="0" fontId="0" fillId="0" borderId="0" xfId="0" applyFont="1" applyFill="1" applyBorder="1" applyAlignment="1" applyProtection="1">
      <alignment/>
      <protection/>
    </xf>
    <xf numFmtId="0" fontId="0" fillId="0" borderId="3" xfId="0" applyFont="1" applyFill="1" applyBorder="1" applyAlignment="1" applyProtection="1">
      <alignment/>
      <protection/>
    </xf>
    <xf numFmtId="0" fontId="0" fillId="0" borderId="8" xfId="0" applyFont="1" applyFill="1" applyBorder="1" applyAlignment="1" applyProtection="1">
      <alignment/>
      <protection/>
    </xf>
    <xf numFmtId="0" fontId="0" fillId="0" borderId="9" xfId="0" applyFont="1" applyFill="1" applyBorder="1" applyAlignment="1" applyProtection="1">
      <alignment/>
      <protection/>
    </xf>
    <xf numFmtId="0" fontId="0" fillId="0" borderId="10" xfId="0" applyFont="1" applyFill="1" applyBorder="1" applyAlignment="1" applyProtection="1">
      <alignment/>
      <protection/>
    </xf>
    <xf numFmtId="0" fontId="5" fillId="0" borderId="27"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right"/>
      <protection/>
    </xf>
    <xf numFmtId="2" fontId="0" fillId="2" borderId="1" xfId="0" applyNumberFormat="1" applyFont="1" applyFill="1" applyBorder="1" applyAlignment="1" applyProtection="1">
      <alignment/>
      <protection locked="0"/>
    </xf>
    <xf numFmtId="0" fontId="34" fillId="0" borderId="0" xfId="0" applyNumberFormat="1" applyFont="1" applyFill="1" applyBorder="1" applyAlignment="1" applyProtection="1">
      <alignment horizontal="center"/>
      <protection/>
    </xf>
    <xf numFmtId="0" fontId="53" fillId="0" borderId="0" xfId="0" applyNumberFormat="1" applyFont="1" applyFill="1" applyBorder="1" applyAlignment="1" applyProtection="1">
      <alignment horizontal="right"/>
      <protection/>
    </xf>
    <xf numFmtId="0" fontId="34" fillId="0" borderId="27" xfId="0" applyNumberFormat="1" applyFont="1" applyFill="1" applyBorder="1" applyAlignment="1" applyProtection="1">
      <alignment/>
      <protection/>
    </xf>
    <xf numFmtId="0" fontId="0" fillId="0" borderId="27" xfId="0" applyFont="1" applyFill="1" applyBorder="1" applyAlignment="1" applyProtection="1">
      <alignment/>
      <protection/>
    </xf>
    <xf numFmtId="11" fontId="27" fillId="0" borderId="0" xfId="0" applyNumberFormat="1" applyFont="1" applyFill="1" applyAlignment="1" applyProtection="1">
      <alignment/>
      <protection/>
    </xf>
    <xf numFmtId="0" fontId="27" fillId="0" borderId="0" xfId="0" applyFont="1" applyFill="1" applyAlignment="1" applyProtection="1">
      <alignment/>
      <protection/>
    </xf>
    <xf numFmtId="0" fontId="5" fillId="0" borderId="0" xfId="0" applyNumberFormat="1" applyFont="1" applyFill="1" applyBorder="1" applyAlignment="1" applyProtection="1">
      <alignment horizontal="center"/>
      <protection/>
    </xf>
    <xf numFmtId="0" fontId="0" fillId="2" borderId="28" xfId="0" applyFont="1" applyFill="1" applyBorder="1" applyAlignment="1" applyProtection="1">
      <alignment/>
      <protection locked="0"/>
    </xf>
    <xf numFmtId="0" fontId="43" fillId="0" borderId="0" xfId="0" applyNumberFormat="1" applyFont="1" applyFill="1" applyBorder="1" applyAlignment="1" applyProtection="1">
      <alignment/>
      <protection/>
    </xf>
    <xf numFmtId="0" fontId="5" fillId="0" borderId="27" xfId="0" applyNumberFormat="1" applyFont="1" applyFill="1" applyBorder="1" applyAlignment="1" applyProtection="1">
      <alignment/>
      <protection/>
    </xf>
    <xf numFmtId="0" fontId="0" fillId="0" borderId="27" xfId="0" applyNumberFormat="1" applyFont="1" applyFill="1" applyBorder="1" applyAlignment="1" applyProtection="1">
      <alignment/>
      <protection/>
    </xf>
    <xf numFmtId="0" fontId="55" fillId="0" borderId="0" xfId="20" applyNumberFormat="1" applyFont="1" applyFill="1" applyBorder="1" applyAlignment="1" applyProtection="1">
      <alignment/>
      <protection/>
    </xf>
    <xf numFmtId="0" fontId="0" fillId="0" borderId="0" xfId="0" applyFont="1" applyAlignment="1" applyProtection="1">
      <alignment horizontal="center"/>
      <protection/>
    </xf>
    <xf numFmtId="0" fontId="43"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6" fillId="0" borderId="0" xfId="0" applyNumberFormat="1" applyFont="1" applyFill="1" applyBorder="1" applyAlignment="1" applyProtection="1">
      <alignment/>
      <protection/>
    </xf>
    <xf numFmtId="0" fontId="7" fillId="0" borderId="0" xfId="0" applyFont="1" applyAlignment="1" applyProtection="1">
      <alignment horizontal="center"/>
      <protection/>
    </xf>
    <xf numFmtId="0" fontId="7" fillId="0" borderId="0" xfId="0" applyFont="1" applyAlignment="1" applyProtection="1">
      <alignment/>
      <protection/>
    </xf>
    <xf numFmtId="0" fontId="57" fillId="0" borderId="0" xfId="0" applyNumberFormat="1" applyFont="1" applyFill="1" applyBorder="1" applyAlignment="1" applyProtection="1">
      <alignment horizontal="center"/>
      <protection/>
    </xf>
    <xf numFmtId="0" fontId="58" fillId="0" borderId="0" xfId="0" applyNumberFormat="1" applyFont="1" applyFill="1" applyBorder="1" applyAlignment="1" applyProtection="1">
      <alignment horizontal="center"/>
      <protection/>
    </xf>
    <xf numFmtId="0" fontId="7" fillId="4" borderId="1" xfId="0" applyNumberFormat="1" applyFont="1" applyFill="1" applyBorder="1" applyAlignment="1" applyProtection="1">
      <alignment horizontal="center"/>
      <protection/>
    </xf>
    <xf numFmtId="0" fontId="7" fillId="4" borderId="18" xfId="0" applyNumberFormat="1" applyFont="1" applyFill="1" applyBorder="1" applyAlignment="1" applyProtection="1">
      <alignment horizontal="center"/>
      <protection/>
    </xf>
    <xf numFmtId="0" fontId="0" fillId="2" borderId="1" xfId="0" applyNumberFormat="1" applyFont="1" applyFill="1" applyBorder="1" applyAlignment="1" applyProtection="1">
      <alignment horizontal="left"/>
      <protection locked="0"/>
    </xf>
    <xf numFmtId="0" fontId="0" fillId="2" borderId="1" xfId="0" applyNumberFormat="1" applyFont="1" applyFill="1" applyBorder="1" applyAlignment="1" applyProtection="1">
      <alignment horizontal="right"/>
      <protection locked="0"/>
    </xf>
    <xf numFmtId="0" fontId="0" fillId="0" borderId="3" xfId="0" applyNumberFormat="1" applyFont="1" applyFill="1" applyBorder="1" applyAlignment="1" applyProtection="1">
      <alignment/>
      <protection/>
    </xf>
    <xf numFmtId="0" fontId="0" fillId="0" borderId="4" xfId="0" applyFont="1" applyBorder="1" applyAlignment="1" applyProtection="1">
      <alignment/>
      <protection/>
    </xf>
    <xf numFmtId="0" fontId="0" fillId="0" borderId="5" xfId="0" applyFont="1" applyBorder="1" applyAlignment="1" applyProtection="1">
      <alignment/>
      <protection/>
    </xf>
    <xf numFmtId="0" fontId="0" fillId="0" borderId="6" xfId="0" applyFont="1" applyBorder="1" applyAlignment="1" applyProtection="1">
      <alignment/>
      <protection/>
    </xf>
    <xf numFmtId="0" fontId="0" fillId="0" borderId="3" xfId="0" applyFont="1" applyBorder="1" applyAlignment="1" applyProtection="1">
      <alignment/>
      <protection/>
    </xf>
    <xf numFmtId="0" fontId="0" fillId="0" borderId="0" xfId="0" applyFont="1" applyBorder="1" applyAlignment="1" applyProtection="1">
      <alignment/>
      <protection/>
    </xf>
    <xf numFmtId="0" fontId="0" fillId="0" borderId="8" xfId="0" applyFont="1" applyBorder="1" applyAlignment="1" applyProtection="1">
      <alignment/>
      <protection/>
    </xf>
    <xf numFmtId="0" fontId="0" fillId="0" borderId="9" xfId="0" applyFont="1" applyBorder="1" applyAlignment="1" applyProtection="1">
      <alignment/>
      <protection/>
    </xf>
    <xf numFmtId="0" fontId="0" fillId="0" borderId="10" xfId="0" applyFont="1" applyBorder="1" applyAlignment="1" applyProtection="1">
      <alignment/>
      <protection/>
    </xf>
    <xf numFmtId="0" fontId="0" fillId="0" borderId="0" xfId="0" applyFont="1" applyBorder="1" applyAlignment="1" applyProtection="1">
      <alignment horizontal="center"/>
      <protection/>
    </xf>
    <xf numFmtId="0" fontId="60" fillId="0" borderId="0" xfId="0" applyFont="1" applyBorder="1" applyAlignment="1" applyProtection="1" quotePrefix="1">
      <alignment horizontal="center" vertical="center"/>
      <protection/>
    </xf>
    <xf numFmtId="0" fontId="7" fillId="0" borderId="14" xfId="0" applyFont="1" applyBorder="1" applyAlignment="1" applyProtection="1">
      <alignment horizontal="right"/>
      <protection/>
    </xf>
    <xf numFmtId="0" fontId="61" fillId="0" borderId="0" xfId="0" applyFont="1" applyBorder="1" applyAlignment="1" applyProtection="1">
      <alignment horizontal="left" vertical="center"/>
      <protection/>
    </xf>
    <xf numFmtId="0" fontId="61" fillId="0" borderId="0" xfId="0" applyFont="1" applyBorder="1" applyAlignment="1" applyProtection="1">
      <alignment horizontal="right" vertical="center"/>
      <protection/>
    </xf>
    <xf numFmtId="0" fontId="7" fillId="0" borderId="29" xfId="0" applyFont="1" applyBorder="1" applyAlignment="1" applyProtection="1">
      <alignment/>
      <protection/>
    </xf>
    <xf numFmtId="0" fontId="7" fillId="0" borderId="29" xfId="0" applyFont="1" applyBorder="1" applyAlignment="1" applyProtection="1">
      <alignment horizontal="right"/>
      <protection/>
    </xf>
    <xf numFmtId="0" fontId="7" fillId="0" borderId="21" xfId="0" applyFont="1" applyBorder="1" applyAlignment="1" applyProtection="1">
      <alignment horizontal="right"/>
      <protection/>
    </xf>
    <xf numFmtId="0" fontId="0" fillId="0" borderId="1" xfId="0" applyFont="1" applyBorder="1" applyAlignment="1" applyProtection="1">
      <alignment horizontal="center"/>
      <protection/>
    </xf>
    <xf numFmtId="0" fontId="7" fillId="0" borderId="18" xfId="0" applyFont="1" applyBorder="1" applyAlignment="1" applyProtection="1">
      <alignment horizontal="right"/>
      <protection/>
    </xf>
    <xf numFmtId="0" fontId="60" fillId="0" borderId="0" xfId="0" applyFont="1" applyBorder="1" applyAlignment="1" applyProtection="1">
      <alignment horizontal="center" vertical="center"/>
      <protection/>
    </xf>
    <xf numFmtId="0" fontId="62" fillId="0" borderId="0" xfId="0" applyFont="1" applyBorder="1" applyAlignment="1" applyProtection="1">
      <alignment horizontal="center"/>
      <protection/>
    </xf>
    <xf numFmtId="0" fontId="62" fillId="0" borderId="0" xfId="0" applyFont="1" applyBorder="1" applyAlignment="1" applyProtection="1">
      <alignment horizontal="center" vertical="center"/>
      <protection/>
    </xf>
    <xf numFmtId="0" fontId="7" fillId="0" borderId="1" xfId="0" applyFont="1" applyBorder="1" applyAlignment="1" applyProtection="1">
      <alignment horizontal="center"/>
      <protection/>
    </xf>
    <xf numFmtId="0" fontId="0" fillId="0" borderId="0" xfId="0" applyFont="1" applyBorder="1" applyAlignment="1" applyProtection="1">
      <alignment horizontal="center"/>
      <protection/>
    </xf>
    <xf numFmtId="0" fontId="63" fillId="0" borderId="0" xfId="0" applyFont="1" applyBorder="1" applyAlignment="1" applyProtection="1">
      <alignment horizontal="center"/>
      <protection/>
    </xf>
    <xf numFmtId="0" fontId="7" fillId="0" borderId="0" xfId="0" applyFont="1" applyBorder="1" applyAlignment="1" applyProtection="1">
      <alignment horizontal="center"/>
      <protection/>
    </xf>
    <xf numFmtId="0" fontId="5" fillId="0" borderId="0" xfId="0" applyFont="1" applyBorder="1" applyAlignment="1" applyProtection="1">
      <alignment horizontal="center"/>
      <protection/>
    </xf>
    <xf numFmtId="0" fontId="64" fillId="0" borderId="0" xfId="0" applyFont="1" applyBorder="1" applyAlignment="1" applyProtection="1">
      <alignment horizontal="center"/>
      <protection/>
    </xf>
    <xf numFmtId="0" fontId="0" fillId="2" borderId="1" xfId="0" applyFont="1" applyFill="1" applyBorder="1" applyAlignment="1" applyProtection="1">
      <alignment horizontal="center"/>
      <protection locked="0"/>
    </xf>
    <xf numFmtId="181" fontId="1" fillId="0" borderId="30" xfId="0" applyNumberFormat="1" applyFont="1" applyBorder="1" applyAlignment="1">
      <alignment horizontal="center"/>
    </xf>
    <xf numFmtId="181" fontId="1" fillId="0" borderId="31" xfId="0" applyNumberFormat="1" applyFont="1" applyBorder="1" applyAlignment="1">
      <alignment horizontal="center"/>
    </xf>
    <xf numFmtId="0" fontId="1" fillId="0" borderId="32" xfId="0" applyFont="1" applyBorder="1" applyAlignment="1">
      <alignment horizontal="center"/>
    </xf>
    <xf numFmtId="0" fontId="0" fillId="0" borderId="0" xfId="0" applyFont="1" applyAlignment="1" applyProtection="1">
      <alignment/>
      <protection/>
    </xf>
    <xf numFmtId="0" fontId="0" fillId="0" borderId="4" xfId="0" applyFont="1" applyBorder="1" applyAlignment="1" applyProtection="1">
      <alignment/>
      <protection/>
    </xf>
    <xf numFmtId="0" fontId="0" fillId="0" borderId="5" xfId="0" applyFont="1" applyBorder="1" applyAlignment="1" applyProtection="1">
      <alignment/>
      <protection/>
    </xf>
    <xf numFmtId="0" fontId="0" fillId="0" borderId="6" xfId="0" applyFont="1" applyBorder="1" applyAlignment="1" applyProtection="1">
      <alignment/>
      <protection/>
    </xf>
    <xf numFmtId="0" fontId="0" fillId="0" borderId="7" xfId="0" applyFont="1" applyBorder="1" applyAlignment="1" applyProtection="1">
      <alignment/>
      <protection/>
    </xf>
    <xf numFmtId="0" fontId="0" fillId="0" borderId="3" xfId="0" applyFont="1" applyBorder="1" applyAlignment="1" applyProtection="1">
      <alignment/>
      <protection/>
    </xf>
    <xf numFmtId="0" fontId="0" fillId="0" borderId="0" xfId="0" applyFont="1" applyBorder="1" applyAlignment="1" applyProtection="1">
      <alignment/>
      <protection/>
    </xf>
    <xf numFmtId="0" fontId="0" fillId="0" borderId="8" xfId="0" applyFont="1" applyBorder="1" applyAlignment="1" applyProtection="1">
      <alignment/>
      <protection/>
    </xf>
    <xf numFmtId="0" fontId="0" fillId="0" borderId="9" xfId="0" applyFont="1" applyBorder="1" applyAlignment="1" applyProtection="1">
      <alignment/>
      <protection/>
    </xf>
    <xf numFmtId="0" fontId="0" fillId="0" borderId="10" xfId="0" applyFont="1" applyBorder="1" applyAlignment="1" applyProtection="1">
      <alignment/>
      <protection/>
    </xf>
    <xf numFmtId="0" fontId="66" fillId="0" borderId="0" xfId="20" applyFont="1" applyFill="1" applyBorder="1" applyAlignment="1" applyProtection="1">
      <alignment horizontal="left"/>
      <protection/>
    </xf>
    <xf numFmtId="0" fontId="66" fillId="0" borderId="0" xfId="20" applyFont="1" applyFill="1" applyBorder="1" applyAlignment="1" applyProtection="1">
      <alignment horizontal="right"/>
      <protection/>
    </xf>
    <xf numFmtId="0" fontId="0" fillId="0" borderId="0" xfId="0" applyFont="1" applyFill="1" applyBorder="1" applyAlignment="1" applyProtection="1">
      <alignment/>
      <protection/>
    </xf>
    <xf numFmtId="0" fontId="0" fillId="2" borderId="18" xfId="0" applyNumberFormat="1" applyFont="1" applyFill="1" applyBorder="1" applyAlignment="1" applyProtection="1">
      <alignment/>
      <protection locked="0"/>
    </xf>
    <xf numFmtId="0" fontId="0" fillId="0" borderId="0" xfId="0" applyNumberFormat="1" applyFont="1" applyBorder="1" applyAlignment="1" applyProtection="1">
      <alignment/>
      <protection/>
    </xf>
    <xf numFmtId="0" fontId="1" fillId="0" borderId="0" xfId="0" applyNumberFormat="1" applyFont="1" applyAlignment="1" applyProtection="1">
      <alignment/>
      <protection/>
    </xf>
    <xf numFmtId="0" fontId="1" fillId="0" borderId="0" xfId="0" applyNumberFormat="1" applyFont="1" applyAlignment="1" applyProtection="1">
      <alignment/>
      <protection/>
    </xf>
    <xf numFmtId="0" fontId="29" fillId="0" borderId="0" xfId="0" applyNumberFormat="1" applyFont="1" applyAlignment="1" applyProtection="1">
      <alignment/>
      <protection/>
    </xf>
    <xf numFmtId="0" fontId="29" fillId="0" borderId="0" xfId="0" applyNumberFormat="1" applyFont="1" applyAlignment="1" applyProtection="1">
      <alignment shrinkToFit="1"/>
      <protection/>
    </xf>
    <xf numFmtId="0" fontId="26" fillId="0" borderId="14" xfId="0" applyNumberFormat="1" applyFont="1" applyFill="1" applyBorder="1" applyAlignment="1" applyProtection="1">
      <alignment horizontal="left"/>
      <protection/>
    </xf>
    <xf numFmtId="0" fontId="29" fillId="0" borderId="21" xfId="0" applyNumberFormat="1" applyFont="1" applyBorder="1" applyAlignment="1" applyProtection="1">
      <alignment/>
      <protection/>
    </xf>
    <xf numFmtId="0" fontId="26" fillId="0" borderId="24" xfId="0" applyNumberFormat="1" applyFont="1" applyBorder="1" applyAlignment="1" applyProtection="1">
      <alignment horizontal="right"/>
      <protection/>
    </xf>
    <xf numFmtId="0" fontId="29" fillId="0" borderId="17" xfId="0" applyNumberFormat="1" applyFont="1" applyBorder="1" applyAlignment="1" applyProtection="1">
      <alignment/>
      <protection/>
    </xf>
    <xf numFmtId="0" fontId="26" fillId="0" borderId="24" xfId="0" applyNumberFormat="1" applyFont="1" applyBorder="1" applyAlignment="1" applyProtection="1">
      <alignment horizontal="right" shrinkToFit="1"/>
      <protection/>
    </xf>
    <xf numFmtId="0" fontId="29" fillId="0" borderId="0" xfId="0" applyNumberFormat="1" applyFont="1" applyAlignment="1" applyProtection="1">
      <alignment/>
      <protection/>
    </xf>
    <xf numFmtId="0" fontId="29" fillId="0" borderId="24" xfId="0" applyNumberFormat="1" applyFont="1" applyBorder="1" applyAlignment="1" applyProtection="1">
      <alignment/>
      <protection/>
    </xf>
    <xf numFmtId="0" fontId="29" fillId="0" borderId="0" xfId="0" applyNumberFormat="1" applyFont="1" applyBorder="1" applyAlignment="1" applyProtection="1">
      <alignment/>
      <protection/>
    </xf>
    <xf numFmtId="0" fontId="29" fillId="0" borderId="22" xfId="0" applyNumberFormat="1" applyFont="1" applyBorder="1" applyAlignment="1" applyProtection="1">
      <alignment/>
      <protection/>
    </xf>
    <xf numFmtId="0" fontId="29" fillId="0" borderId="23" xfId="0" applyNumberFormat="1" applyFont="1" applyBorder="1" applyAlignment="1" applyProtection="1">
      <alignment/>
      <protection/>
    </xf>
    <xf numFmtId="0" fontId="26" fillId="0" borderId="29" xfId="0" applyNumberFormat="1" applyFont="1" applyFill="1" applyBorder="1" applyAlignment="1" applyProtection="1">
      <alignment horizontal="left"/>
      <protection/>
    </xf>
    <xf numFmtId="0" fontId="29" fillId="0" borderId="33" xfId="0" applyNumberFormat="1" applyFont="1" applyBorder="1" applyAlignment="1" applyProtection="1">
      <alignment/>
      <protection/>
    </xf>
    <xf numFmtId="0" fontId="26" fillId="0" borderId="24" xfId="0" applyNumberFormat="1" applyFont="1" applyFill="1" applyBorder="1" applyAlignment="1" applyProtection="1">
      <alignment horizontal="right"/>
      <protection/>
    </xf>
    <xf numFmtId="0" fontId="29" fillId="0" borderId="0" xfId="0" applyNumberFormat="1" applyFont="1" applyAlignment="1" applyProtection="1">
      <alignment horizontal="right"/>
      <protection/>
    </xf>
    <xf numFmtId="0" fontId="29" fillId="0" borderId="0" xfId="0" applyNumberFormat="1" applyFont="1" applyBorder="1" applyAlignment="1" applyProtection="1">
      <alignment/>
      <protection/>
    </xf>
    <xf numFmtId="0" fontId="29" fillId="0" borderId="17" xfId="0" applyNumberFormat="1" applyFont="1" applyBorder="1" applyAlignment="1" applyProtection="1">
      <alignment/>
      <protection/>
    </xf>
    <xf numFmtId="0" fontId="29" fillId="0" borderId="24" xfId="0" applyNumberFormat="1" applyFont="1" applyBorder="1" applyAlignment="1" applyProtection="1">
      <alignment/>
      <protection/>
    </xf>
    <xf numFmtId="0" fontId="29" fillId="0" borderId="23" xfId="0" applyNumberFormat="1" applyFont="1" applyBorder="1" applyAlignment="1" applyProtection="1">
      <alignment/>
      <protection/>
    </xf>
    <xf numFmtId="0" fontId="0" fillId="0" borderId="0" xfId="0" applyNumberFormat="1" applyAlignment="1" applyProtection="1">
      <alignment/>
      <protection/>
    </xf>
    <xf numFmtId="0" fontId="0" fillId="0" borderId="0" xfId="0" applyNumberFormat="1" applyBorder="1" applyAlignment="1" applyProtection="1">
      <alignment/>
      <protection/>
    </xf>
    <xf numFmtId="0" fontId="29" fillId="0" borderId="0" xfId="0" applyNumberFormat="1" applyFont="1" applyFill="1" applyBorder="1" applyAlignment="1" applyProtection="1">
      <alignment/>
      <protection/>
    </xf>
    <xf numFmtId="0" fontId="0" fillId="0" borderId="4" xfId="0" applyNumberFormat="1" applyBorder="1" applyAlignment="1" applyProtection="1">
      <alignment/>
      <protection/>
    </xf>
    <xf numFmtId="0" fontId="0" fillId="0" borderId="5" xfId="0" applyNumberFormat="1" applyBorder="1" applyAlignment="1" applyProtection="1">
      <alignment/>
      <protection/>
    </xf>
    <xf numFmtId="0" fontId="0" fillId="0" borderId="6" xfId="0" applyNumberFormat="1" applyBorder="1" applyAlignment="1" applyProtection="1">
      <alignment/>
      <protection/>
    </xf>
    <xf numFmtId="0" fontId="0" fillId="0" borderId="7" xfId="0" applyNumberFormat="1" applyBorder="1" applyAlignment="1" applyProtection="1">
      <alignment/>
      <protection/>
    </xf>
    <xf numFmtId="0" fontId="0" fillId="0" borderId="3" xfId="0" applyNumberFormat="1" applyBorder="1" applyAlignment="1" applyProtection="1">
      <alignment/>
      <protection/>
    </xf>
    <xf numFmtId="0" fontId="46" fillId="0" borderId="0" xfId="0" applyNumberFormat="1" applyFont="1" applyFill="1" applyBorder="1" applyAlignment="1" applyProtection="1">
      <alignment horizontal="center"/>
      <protection/>
    </xf>
    <xf numFmtId="0" fontId="27" fillId="0" borderId="0" xfId="0" applyNumberFormat="1" applyFont="1" applyAlignment="1" applyProtection="1">
      <alignment/>
      <protection/>
    </xf>
    <xf numFmtId="0" fontId="1" fillId="0" borderId="8" xfId="0" applyNumberFormat="1" applyFont="1" applyBorder="1" applyAlignment="1" applyProtection="1">
      <alignment/>
      <protection/>
    </xf>
    <xf numFmtId="0" fontId="0" fillId="0" borderId="9" xfId="0" applyNumberFormat="1" applyBorder="1" applyAlignment="1" applyProtection="1">
      <alignment/>
      <protection/>
    </xf>
    <xf numFmtId="0" fontId="1" fillId="0" borderId="9" xfId="0" applyNumberFormat="1" applyFont="1" applyBorder="1" applyAlignment="1" applyProtection="1">
      <alignment/>
      <protection/>
    </xf>
    <xf numFmtId="0" fontId="1" fillId="0" borderId="10" xfId="0" applyNumberFormat="1" applyFont="1" applyBorder="1" applyAlignment="1" applyProtection="1">
      <alignment/>
      <protection/>
    </xf>
    <xf numFmtId="0" fontId="29" fillId="0" borderId="0" xfId="0" applyNumberFormat="1" applyFont="1" applyFill="1" applyBorder="1" applyAlignment="1" applyProtection="1">
      <alignment/>
      <protection/>
    </xf>
    <xf numFmtId="0" fontId="26" fillId="0" borderId="29" xfId="0" applyNumberFormat="1" applyFont="1" applyFill="1" applyBorder="1" applyAlignment="1" applyProtection="1">
      <alignment/>
      <protection/>
    </xf>
    <xf numFmtId="0" fontId="29" fillId="0" borderId="1" xfId="0" applyNumberFormat="1" applyFont="1" applyFill="1" applyBorder="1" applyAlignment="1" applyProtection="1">
      <alignment/>
      <protection/>
    </xf>
    <xf numFmtId="0" fontId="29" fillId="0" borderId="17" xfId="0" applyNumberFormat="1" applyFont="1" applyFill="1" applyBorder="1" applyAlignment="1" applyProtection="1">
      <alignment/>
      <protection/>
    </xf>
    <xf numFmtId="0" fontId="29" fillId="0" borderId="0" xfId="0" applyNumberFormat="1" applyFont="1" applyFill="1" applyAlignment="1" applyProtection="1">
      <alignment/>
      <protection/>
    </xf>
    <xf numFmtId="0" fontId="29" fillId="0" borderId="0" xfId="0" applyNumberFormat="1" applyFont="1" applyFill="1" applyAlignment="1" applyProtection="1">
      <alignment/>
      <protection/>
    </xf>
    <xf numFmtId="0" fontId="29" fillId="0" borderId="17" xfId="0" applyNumberFormat="1" applyFont="1" applyFill="1" applyBorder="1" applyAlignment="1" applyProtection="1">
      <alignment/>
      <protection/>
    </xf>
    <xf numFmtId="0" fontId="29" fillId="0" borderId="0" xfId="0" applyNumberFormat="1" applyFont="1" applyFill="1" applyAlignment="1" applyProtection="1">
      <alignment horizontal="right"/>
      <protection/>
    </xf>
    <xf numFmtId="0" fontId="26" fillId="0" borderId="24" xfId="0" applyNumberFormat="1" applyFont="1" applyBorder="1" applyAlignment="1" applyProtection="1">
      <alignment/>
      <protection/>
    </xf>
    <xf numFmtId="0" fontId="26" fillId="0" borderId="22" xfId="0" applyNumberFormat="1" applyFont="1" applyBorder="1" applyAlignment="1" applyProtection="1">
      <alignment/>
      <protection/>
    </xf>
    <xf numFmtId="0" fontId="26" fillId="0" borderId="24" xfId="0" applyNumberFormat="1" applyFont="1" applyBorder="1" applyAlignment="1" applyProtection="1">
      <alignment/>
      <protection/>
    </xf>
    <xf numFmtId="0" fontId="29" fillId="0" borderId="17" xfId="0" applyNumberFormat="1" applyFont="1" applyFill="1" applyBorder="1" applyAlignment="1" applyProtection="1">
      <alignment horizontal="right"/>
      <protection/>
    </xf>
    <xf numFmtId="0" fontId="29" fillId="0" borderId="24" xfId="0" applyNumberFormat="1" applyFont="1" applyFill="1" applyBorder="1" applyAlignment="1" applyProtection="1">
      <alignment/>
      <protection/>
    </xf>
    <xf numFmtId="0" fontId="26" fillId="0" borderId="17" xfId="0" applyNumberFormat="1" applyFont="1" applyBorder="1" applyAlignment="1" applyProtection="1">
      <alignment horizontal="center"/>
      <protection/>
    </xf>
    <xf numFmtId="0" fontId="26" fillId="0" borderId="24" xfId="0" applyNumberFormat="1" applyFont="1" applyBorder="1" applyAlignment="1" applyProtection="1">
      <alignment shrinkToFit="1"/>
      <protection/>
    </xf>
    <xf numFmtId="0" fontId="26" fillId="0" borderId="24" xfId="0" applyNumberFormat="1" applyFont="1" applyFill="1" applyBorder="1" applyAlignment="1" applyProtection="1">
      <alignment/>
      <protection/>
    </xf>
    <xf numFmtId="0" fontId="26" fillId="0" borderId="22" xfId="0" applyNumberFormat="1" applyFont="1" applyFill="1" applyBorder="1" applyAlignment="1" applyProtection="1">
      <alignment/>
      <protection/>
    </xf>
    <xf numFmtId="0" fontId="26" fillId="0" borderId="24" xfId="0" applyNumberFormat="1" applyFont="1" applyBorder="1" applyAlignment="1" applyProtection="1">
      <alignment horizontal="left"/>
      <protection/>
    </xf>
    <xf numFmtId="0" fontId="39" fillId="0" borderId="24" xfId="0" applyNumberFormat="1" applyFont="1" applyBorder="1" applyAlignment="1" applyProtection="1">
      <alignment horizontal="right"/>
      <protection/>
    </xf>
    <xf numFmtId="0" fontId="26" fillId="0" borderId="17" xfId="0" applyNumberFormat="1" applyFont="1" applyFill="1" applyBorder="1" applyAlignment="1" applyProtection="1">
      <alignment horizontal="center"/>
      <protection/>
    </xf>
    <xf numFmtId="0" fontId="29" fillId="0" borderId="17" xfId="0" applyNumberFormat="1" applyFont="1" applyFill="1" applyBorder="1" applyAlignment="1" applyProtection="1">
      <alignment horizontal="left"/>
      <protection/>
    </xf>
    <xf numFmtId="0" fontId="26" fillId="0" borderId="20" xfId="0" applyNumberFormat="1" applyFont="1" applyFill="1" applyBorder="1" applyAlignment="1" applyProtection="1">
      <alignment horizontal="right"/>
      <protection/>
    </xf>
    <xf numFmtId="0" fontId="26" fillId="0" borderId="29" xfId="0" applyNumberFormat="1" applyFont="1" applyBorder="1" applyAlignment="1" applyProtection="1">
      <alignment/>
      <protection/>
    </xf>
    <xf numFmtId="0" fontId="29" fillId="0" borderId="33" xfId="0" applyNumberFormat="1" applyFont="1" applyBorder="1" applyAlignment="1" applyProtection="1">
      <alignment/>
      <protection/>
    </xf>
    <xf numFmtId="0" fontId="45" fillId="0" borderId="0" xfId="20" applyNumberFormat="1" applyFont="1" applyFill="1" applyBorder="1" applyAlignment="1" applyProtection="1">
      <alignment horizontal="left"/>
      <protection/>
    </xf>
    <xf numFmtId="0" fontId="45" fillId="0" borderId="0" xfId="20" applyNumberFormat="1" applyFont="1" applyFill="1" applyBorder="1" applyAlignment="1" applyProtection="1">
      <alignment horizontal="right"/>
      <protection/>
    </xf>
    <xf numFmtId="0" fontId="0" fillId="2" borderId="29" xfId="0" applyNumberFormat="1" applyFont="1" applyFill="1" applyBorder="1" applyAlignment="1" applyProtection="1">
      <alignment/>
      <protection locked="0"/>
    </xf>
    <xf numFmtId="0" fontId="26" fillId="0" borderId="0"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right"/>
      <protection/>
    </xf>
    <xf numFmtId="181" fontId="48" fillId="0" borderId="31" xfId="0" applyNumberFormat="1" applyFont="1" applyBorder="1" applyAlignment="1">
      <alignment horizontal="center" vertical="top" wrapText="1"/>
    </xf>
    <xf numFmtId="0" fontId="3" fillId="0" borderId="0" xfId="0" applyFont="1" applyAlignment="1">
      <alignment horizontal="center"/>
    </xf>
    <xf numFmtId="0" fontId="7" fillId="0" borderId="0" xfId="0" applyFont="1" applyBorder="1" applyAlignment="1">
      <alignment horizontal="center"/>
    </xf>
    <xf numFmtId="0" fontId="55" fillId="0" borderId="0" xfId="20" applyFont="1" applyAlignment="1">
      <alignment/>
    </xf>
    <xf numFmtId="0" fontId="55" fillId="0" borderId="0" xfId="20" applyFont="1" applyBorder="1" applyAlignment="1">
      <alignment/>
    </xf>
    <xf numFmtId="0" fontId="55" fillId="0" borderId="0" xfId="20" applyFont="1" applyBorder="1" applyAlignment="1">
      <alignment horizontal="left"/>
    </xf>
    <xf numFmtId="0" fontId="0" fillId="0" borderId="0" xfId="0" applyNumberFormat="1" applyAlignment="1">
      <alignment/>
    </xf>
    <xf numFmtId="0" fontId="1" fillId="0" borderId="0" xfId="0" applyFont="1" applyAlignment="1">
      <alignment/>
    </xf>
    <xf numFmtId="0" fontId="0" fillId="0" borderId="34" xfId="0" applyBorder="1" applyAlignment="1">
      <alignment/>
    </xf>
    <xf numFmtId="0" fontId="13" fillId="0" borderId="0" xfId="0" applyFont="1" applyAlignment="1">
      <alignment/>
    </xf>
    <xf numFmtId="0" fontId="5" fillId="0" borderId="0" xfId="0" applyFont="1" applyAlignment="1">
      <alignment/>
    </xf>
    <xf numFmtId="0" fontId="7" fillId="0" borderId="0" xfId="0" applyFont="1" applyAlignment="1">
      <alignment horizontal="right"/>
    </xf>
    <xf numFmtId="0" fontId="55" fillId="0" borderId="0" xfId="20" applyFont="1" applyBorder="1" applyAlignment="1" applyProtection="1">
      <alignment horizontal="right"/>
      <protection/>
    </xf>
    <xf numFmtId="0" fontId="55" fillId="0" borderId="0" xfId="20" applyNumberFormat="1" applyFont="1" applyBorder="1" applyAlignment="1" applyProtection="1">
      <alignment horizontal="right"/>
      <protection/>
    </xf>
    <xf numFmtId="0" fontId="7" fillId="0" borderId="27" xfId="0" applyFont="1" applyBorder="1" applyAlignment="1">
      <alignment horizontal="right"/>
    </xf>
    <xf numFmtId="0" fontId="7" fillId="0" borderId="27" xfId="0" applyFont="1" applyBorder="1" applyAlignment="1">
      <alignment horizontal="center"/>
    </xf>
    <xf numFmtId="0" fontId="0" fillId="2" borderId="18" xfId="0" applyNumberFormat="1" applyFill="1" applyBorder="1" applyAlignment="1" applyProtection="1">
      <alignment/>
      <protection locked="0"/>
    </xf>
    <xf numFmtId="0" fontId="0" fillId="0" borderId="26" xfId="0" applyNumberFormat="1" applyBorder="1" applyAlignment="1">
      <alignment/>
    </xf>
    <xf numFmtId="0" fontId="0" fillId="2" borderId="1" xfId="0" applyNumberFormat="1" applyFill="1" applyBorder="1" applyAlignment="1" applyProtection="1">
      <alignment/>
      <protection locked="0"/>
    </xf>
    <xf numFmtId="0" fontId="0" fillId="2" borderId="18" xfId="0" applyNumberFormat="1" applyFont="1" applyFill="1" applyBorder="1" applyAlignment="1" applyProtection="1">
      <alignment/>
      <protection locked="0"/>
    </xf>
    <xf numFmtId="0" fontId="0" fillId="0" borderId="1" xfId="0" applyNumberFormat="1" applyFont="1" applyFill="1" applyBorder="1" applyAlignment="1" applyProtection="1">
      <alignment horizontal="right"/>
      <protection/>
    </xf>
    <xf numFmtId="0" fontId="0" fillId="0" borderId="35" xfId="0" applyNumberFormat="1" applyFont="1" applyFill="1" applyBorder="1" applyAlignment="1" applyProtection="1">
      <alignment horizontal="center"/>
      <protection/>
    </xf>
    <xf numFmtId="0" fontId="5" fillId="0" borderId="27" xfId="0" applyFont="1" applyBorder="1" applyAlignment="1">
      <alignment horizontal="center"/>
    </xf>
    <xf numFmtId="0" fontId="69" fillId="0" borderId="0" xfId="20" applyFont="1" applyBorder="1" applyAlignment="1">
      <alignment horizontal="right"/>
    </xf>
    <xf numFmtId="0" fontId="0" fillId="0" borderId="0" xfId="0" applyFont="1" applyAlignment="1">
      <alignment/>
    </xf>
    <xf numFmtId="0" fontId="72" fillId="0" borderId="0" xfId="0" applyFont="1" applyAlignment="1">
      <alignment/>
    </xf>
    <xf numFmtId="0" fontId="0" fillId="0" borderId="0" xfId="0" applyFont="1" applyFill="1" applyAlignment="1">
      <alignment/>
    </xf>
    <xf numFmtId="0" fontId="0" fillId="0" borderId="0" xfId="0" applyFont="1" applyAlignment="1">
      <alignment horizontal="right"/>
    </xf>
    <xf numFmtId="0" fontId="73" fillId="0" borderId="0" xfId="0" applyFont="1" applyAlignment="1">
      <alignment horizontal="left"/>
    </xf>
    <xf numFmtId="0" fontId="73" fillId="0" borderId="0" xfId="0" applyFont="1" applyBorder="1" applyAlignment="1">
      <alignment horizontal="left"/>
    </xf>
    <xf numFmtId="0" fontId="1" fillId="0" borderId="0" xfId="0" applyFont="1" applyFill="1" applyAlignment="1">
      <alignment/>
    </xf>
    <xf numFmtId="0" fontId="74" fillId="0" borderId="0" xfId="0" applyFont="1" applyAlignment="1">
      <alignment/>
    </xf>
    <xf numFmtId="11" fontId="0" fillId="0" borderId="0" xfId="0" applyNumberFormat="1" applyFont="1" applyAlignment="1">
      <alignment horizontal="right"/>
    </xf>
    <xf numFmtId="177" fontId="0" fillId="0" borderId="12" xfId="0" applyNumberFormat="1" applyFont="1" applyBorder="1" applyAlignment="1">
      <alignment horizontal="center"/>
    </xf>
    <xf numFmtId="0" fontId="5" fillId="0" borderId="12" xfId="0" applyFont="1" applyBorder="1" applyAlignment="1">
      <alignment horizontal="center"/>
    </xf>
    <xf numFmtId="0" fontId="0" fillId="0" borderId="12" xfId="0" applyBorder="1" applyAlignment="1">
      <alignment horizontal="center"/>
    </xf>
    <xf numFmtId="0" fontId="73" fillId="0" borderId="0" xfId="0" applyFont="1" applyAlignment="1">
      <alignment/>
    </xf>
    <xf numFmtId="0" fontId="5" fillId="0" borderId="36" xfId="0" applyFont="1" applyBorder="1" applyAlignment="1">
      <alignment horizontal="center"/>
    </xf>
    <xf numFmtId="0" fontId="5" fillId="0" borderId="37" xfId="0" applyFont="1" applyFill="1" applyBorder="1" applyAlignment="1">
      <alignment horizontal="center"/>
    </xf>
    <xf numFmtId="0" fontId="2" fillId="2" borderId="18" xfId="0" applyFont="1" applyFill="1" applyBorder="1" applyAlignment="1">
      <alignment horizontal="center"/>
    </xf>
    <xf numFmtId="0" fontId="0" fillId="2" borderId="18" xfId="0" applyFont="1" applyFill="1" applyBorder="1" applyAlignment="1">
      <alignment/>
    </xf>
    <xf numFmtId="0" fontId="0" fillId="0" borderId="0" xfId="0" applyFont="1" applyBorder="1" applyAlignment="1">
      <alignment horizontal="right"/>
    </xf>
    <xf numFmtId="0" fontId="76" fillId="0" borderId="0" xfId="0" applyFont="1" applyAlignment="1">
      <alignment horizontal="center"/>
    </xf>
    <xf numFmtId="2" fontId="0" fillId="0" borderId="0" xfId="0" applyNumberFormat="1" applyFont="1" applyAlignment="1">
      <alignment/>
    </xf>
    <xf numFmtId="177" fontId="0" fillId="0" borderId="0" xfId="0" applyNumberFormat="1" applyFont="1" applyAlignment="1">
      <alignment/>
    </xf>
    <xf numFmtId="0" fontId="75" fillId="0" borderId="0" xfId="0" applyFont="1" applyAlignment="1">
      <alignment/>
    </xf>
    <xf numFmtId="2" fontId="5" fillId="0" borderId="38" xfId="0" applyNumberFormat="1" applyFont="1" applyBorder="1" applyAlignment="1">
      <alignment horizontal="center"/>
    </xf>
    <xf numFmtId="177" fontId="5" fillId="0" borderId="38" xfId="0" applyNumberFormat="1" applyFont="1" applyBorder="1" applyAlignment="1">
      <alignment horizontal="center"/>
    </xf>
    <xf numFmtId="0" fontId="5" fillId="0" borderId="39" xfId="0" applyFont="1" applyFill="1" applyBorder="1" applyAlignment="1">
      <alignment horizontal="center"/>
    </xf>
    <xf numFmtId="0" fontId="5" fillId="0" borderId="40" xfId="0" applyFont="1" applyBorder="1" applyAlignment="1">
      <alignment horizontal="center"/>
    </xf>
    <xf numFmtId="0" fontId="78" fillId="0" borderId="40" xfId="0" applyFont="1" applyBorder="1" applyAlignment="1">
      <alignment horizontal="center"/>
    </xf>
    <xf numFmtId="0" fontId="53" fillId="0" borderId="40" xfId="0" applyFont="1" applyBorder="1" applyAlignment="1">
      <alignment horizontal="center"/>
    </xf>
    <xf numFmtId="0" fontId="56" fillId="0" borderId="0" xfId="0" applyFont="1" applyBorder="1" applyAlignment="1">
      <alignment horizontal="center"/>
    </xf>
    <xf numFmtId="0" fontId="77" fillId="0" borderId="12" xfId="0" applyFont="1" applyBorder="1" applyAlignment="1">
      <alignment horizontal="center"/>
    </xf>
    <xf numFmtId="178" fontId="0" fillId="0" borderId="41" xfId="0" applyNumberFormat="1" applyFont="1" applyBorder="1" applyAlignment="1">
      <alignment/>
    </xf>
    <xf numFmtId="178" fontId="0" fillId="0" borderId="42" xfId="0" applyNumberFormat="1" applyFont="1" applyBorder="1" applyAlignment="1">
      <alignment/>
    </xf>
    <xf numFmtId="177" fontId="0" fillId="0" borderId="41" xfId="0" applyNumberFormat="1" applyFont="1" applyFill="1" applyBorder="1" applyAlignment="1">
      <alignment/>
    </xf>
    <xf numFmtId="177" fontId="0" fillId="0" borderId="42" xfId="0" applyNumberFormat="1" applyFont="1" applyBorder="1" applyAlignment="1">
      <alignment horizontal="right"/>
    </xf>
    <xf numFmtId="177" fontId="0" fillId="0" borderId="42" xfId="0" applyNumberFormat="1" applyFont="1" applyBorder="1" applyAlignment="1">
      <alignment/>
    </xf>
    <xf numFmtId="177" fontId="73" fillId="0" borderId="0" xfId="0" applyNumberFormat="1" applyFont="1" applyAlignment="1">
      <alignment horizontal="left"/>
    </xf>
    <xf numFmtId="177" fontId="73" fillId="0" borderId="0" xfId="0" applyNumberFormat="1" applyFont="1" applyBorder="1" applyAlignment="1">
      <alignment horizontal="left"/>
    </xf>
    <xf numFmtId="178" fontId="0" fillId="0" borderId="43" xfId="0" applyNumberFormat="1" applyFont="1" applyBorder="1" applyAlignment="1">
      <alignment/>
    </xf>
    <xf numFmtId="178" fontId="0" fillId="0" borderId="44" xfId="0" applyNumberFormat="1" applyFont="1" applyBorder="1" applyAlignment="1">
      <alignment/>
    </xf>
    <xf numFmtId="177" fontId="0" fillId="0" borderId="43" xfId="0" applyNumberFormat="1" applyFont="1" applyFill="1" applyBorder="1" applyAlignment="1">
      <alignment/>
    </xf>
    <xf numFmtId="177" fontId="0" fillId="0" borderId="44" xfId="0" applyNumberFormat="1" applyFont="1" applyBorder="1" applyAlignment="1">
      <alignment horizontal="right"/>
    </xf>
    <xf numFmtId="177" fontId="0" fillId="0" borderId="44" xfId="0" applyNumberFormat="1" applyFont="1" applyBorder="1" applyAlignment="1">
      <alignment/>
    </xf>
    <xf numFmtId="178" fontId="0" fillId="0" borderId="0" xfId="0" applyNumberFormat="1" applyFont="1" applyAlignment="1">
      <alignment/>
    </xf>
    <xf numFmtId="177" fontId="0" fillId="0" borderId="0" xfId="0" applyNumberFormat="1" applyFont="1" applyFill="1" applyBorder="1" applyAlignment="1">
      <alignment/>
    </xf>
    <xf numFmtId="177" fontId="0" fillId="0" borderId="0" xfId="0" applyNumberFormat="1" applyFont="1" applyAlignment="1">
      <alignment horizontal="right"/>
    </xf>
    <xf numFmtId="177" fontId="0" fillId="5" borderId="1" xfId="0" applyNumberFormat="1" applyFont="1" applyFill="1" applyBorder="1" applyAlignment="1">
      <alignment/>
    </xf>
    <xf numFmtId="177" fontId="0" fillId="5" borderId="18" xfId="0" applyNumberFormat="1" applyFont="1" applyFill="1" applyBorder="1" applyAlignment="1">
      <alignment/>
    </xf>
    <xf numFmtId="0" fontId="40" fillId="0" borderId="27" xfId="0" applyNumberFormat="1" applyFont="1" applyFill="1" applyBorder="1" applyAlignment="1" applyProtection="1">
      <alignment horizontal="center"/>
      <protection/>
    </xf>
    <xf numFmtId="0" fontId="7" fillId="6" borderId="29" xfId="0" applyFont="1" applyFill="1" applyBorder="1" applyAlignment="1" applyProtection="1">
      <alignment horizontal="center"/>
      <protection/>
    </xf>
    <xf numFmtId="0" fontId="47" fillId="7" borderId="0" xfId="0" applyNumberFormat="1" applyFont="1" applyFill="1" applyBorder="1" applyAlignment="1" applyProtection="1">
      <alignment horizontal="center"/>
      <protection/>
    </xf>
    <xf numFmtId="0" fontId="5" fillId="0" borderId="27" xfId="0" applyNumberFormat="1" applyFont="1" applyFill="1" applyBorder="1" applyAlignment="1" applyProtection="1">
      <alignment horizontal="center"/>
      <protection/>
    </xf>
    <xf numFmtId="0" fontId="7" fillId="0" borderId="26" xfId="0" applyFont="1" applyBorder="1" applyAlignment="1" applyProtection="1">
      <alignment horizontal="center"/>
      <protection/>
    </xf>
    <xf numFmtId="0" fontId="47" fillId="7" borderId="0" xfId="0" applyFont="1" applyFill="1" applyBorder="1" applyAlignment="1" applyProtection="1">
      <alignment horizontal="center"/>
      <protection/>
    </xf>
    <xf numFmtId="0" fontId="46" fillId="7" borderId="0" xfId="0" applyFont="1" applyFill="1" applyBorder="1" applyAlignment="1" applyProtection="1">
      <alignment horizontal="center"/>
      <protection/>
    </xf>
    <xf numFmtId="0" fontId="20" fillId="0" borderId="0" xfId="0" applyNumberFormat="1" applyFont="1" applyFill="1" applyBorder="1" applyAlignment="1" applyProtection="1">
      <alignment horizontal="center" vertical="center"/>
      <protection/>
    </xf>
    <xf numFmtId="0" fontId="7" fillId="0" borderId="45" xfId="0" applyNumberFormat="1" applyFont="1" applyFill="1" applyBorder="1" applyAlignment="1" applyProtection="1">
      <alignment horizontal="center"/>
      <protection/>
    </xf>
    <xf numFmtId="0" fontId="49" fillId="0" borderId="0" xfId="0" applyFont="1" applyBorder="1" applyAlignment="1">
      <alignment vertical="top" wrapText="1"/>
    </xf>
    <xf numFmtId="0" fontId="47" fillId="7" borderId="0" xfId="0" applyFont="1" applyFill="1"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48" fillId="0" borderId="0" xfId="0" applyFont="1" applyBorder="1" applyAlignment="1">
      <alignment vertical="top" wrapText="1"/>
    </xf>
    <xf numFmtId="0" fontId="36" fillId="0" borderId="12" xfId="0" applyNumberFormat="1" applyFont="1" applyFill="1" applyBorder="1" applyAlignment="1" applyProtection="1">
      <alignment horizontal="center"/>
      <protection/>
    </xf>
    <xf numFmtId="0" fontId="46" fillId="7" borderId="0" xfId="0" applyFont="1" applyFill="1" applyBorder="1" applyAlignment="1" applyProtection="1">
      <alignment horizontal="center"/>
      <protection/>
    </xf>
    <xf numFmtId="0" fontId="20" fillId="0" borderId="0" xfId="0" applyNumberFormat="1" applyFont="1" applyFill="1" applyBorder="1" applyAlignment="1" applyProtection="1">
      <alignment horizontal="center" vertical="center"/>
      <protection/>
    </xf>
    <xf numFmtId="0" fontId="7" fillId="0" borderId="45" xfId="0" applyNumberFormat="1" applyFont="1" applyFill="1" applyBorder="1" applyAlignment="1" applyProtection="1">
      <alignment horizontal="center"/>
      <protection/>
    </xf>
    <xf numFmtId="0" fontId="40" fillId="0" borderId="27"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0" fontId="7" fillId="4" borderId="20" xfId="0" applyNumberFormat="1" applyFont="1" applyFill="1" applyBorder="1" applyAlignment="1" applyProtection="1">
      <alignment horizontal="center"/>
      <protection/>
    </xf>
    <xf numFmtId="0" fontId="7" fillId="4" borderId="25" xfId="0" applyNumberFormat="1" applyFont="1" applyFill="1" applyBorder="1" applyAlignment="1" applyProtection="1">
      <alignment horizontal="center"/>
      <protection/>
    </xf>
    <xf numFmtId="0" fontId="7" fillId="4" borderId="21" xfId="0" applyNumberFormat="1" applyFont="1" applyFill="1" applyBorder="1" applyAlignment="1" applyProtection="1">
      <alignment horizontal="center"/>
      <protection/>
    </xf>
    <xf numFmtId="0" fontId="7" fillId="6" borderId="46" xfId="0" applyFont="1" applyFill="1" applyBorder="1" applyAlignment="1" applyProtection="1">
      <alignment horizontal="center"/>
      <protection/>
    </xf>
    <xf numFmtId="0" fontId="7" fillId="6" borderId="33" xfId="0" applyFont="1" applyFill="1" applyBorder="1" applyAlignment="1" applyProtection="1">
      <alignment horizontal="center"/>
      <protection/>
    </xf>
    <xf numFmtId="0" fontId="0" fillId="2" borderId="29" xfId="0" applyFont="1" applyFill="1" applyBorder="1" applyAlignment="1" applyProtection="1">
      <alignment horizontal="center"/>
      <protection locked="0"/>
    </xf>
    <xf numFmtId="0" fontId="0" fillId="2" borderId="46" xfId="0" applyFont="1" applyFill="1" applyBorder="1" applyAlignment="1" applyProtection="1">
      <alignment horizontal="center"/>
      <protection locked="0"/>
    </xf>
    <xf numFmtId="0" fontId="0" fillId="2" borderId="33" xfId="0" applyFont="1" applyFill="1" applyBorder="1" applyAlignment="1" applyProtection="1">
      <alignment horizontal="center"/>
      <protection locked="0"/>
    </xf>
    <xf numFmtId="0" fontId="65" fillId="0" borderId="25" xfId="0" applyFont="1" applyBorder="1" applyAlignment="1" applyProtection="1">
      <alignment horizontal="right"/>
      <protection/>
    </xf>
    <xf numFmtId="0" fontId="7" fillId="4" borderId="29" xfId="0" applyFont="1" applyFill="1" applyBorder="1" applyAlignment="1" applyProtection="1">
      <alignment horizontal="center"/>
      <protection/>
    </xf>
    <xf numFmtId="0" fontId="7" fillId="4" borderId="33" xfId="0" applyFont="1" applyFill="1" applyBorder="1" applyAlignment="1" applyProtection="1">
      <alignment horizontal="center"/>
      <protection/>
    </xf>
    <xf numFmtId="0" fontId="59" fillId="0" borderId="0" xfId="0" applyFont="1" applyBorder="1" applyAlignment="1" applyProtection="1">
      <alignment horizontal="center" vertical="center"/>
      <protection/>
    </xf>
    <xf numFmtId="0" fontId="7" fillId="3" borderId="29" xfId="0" applyFont="1" applyFill="1" applyBorder="1" applyAlignment="1" applyProtection="1">
      <alignment horizontal="center"/>
      <protection/>
    </xf>
    <xf numFmtId="0" fontId="7" fillId="3" borderId="46" xfId="0" applyFont="1" applyFill="1" applyBorder="1" applyAlignment="1" applyProtection="1">
      <alignment horizontal="center"/>
      <protection/>
    </xf>
    <xf numFmtId="0" fontId="7" fillId="3" borderId="33" xfId="0"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4" fillId="0" borderId="27" xfId="0" applyNumberFormat="1" applyFont="1" applyFill="1" applyBorder="1" applyAlignment="1" applyProtection="1">
      <alignment horizontal="center"/>
      <protection/>
    </xf>
    <xf numFmtId="0" fontId="34" fillId="0" borderId="27"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protection/>
    </xf>
    <xf numFmtId="0" fontId="46" fillId="7"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26" xfId="0" applyNumberFormat="1" applyFont="1" applyFill="1" applyBorder="1" applyAlignment="1" applyProtection="1">
      <alignment horizontal="center"/>
      <protection/>
    </xf>
    <xf numFmtId="0" fontId="7" fillId="0" borderId="25" xfId="0" applyNumberFormat="1" applyFont="1" applyFill="1" applyBorder="1" applyAlignment="1" applyProtection="1">
      <alignment horizontal="center"/>
      <protection/>
    </xf>
    <xf numFmtId="0" fontId="34" fillId="0" borderId="0"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0" fillId="0" borderId="0" xfId="0" applyFont="1" applyAlignment="1" applyProtection="1">
      <alignment horizontal="left" vertical="top" wrapText="1"/>
      <protection/>
    </xf>
    <xf numFmtId="0" fontId="55" fillId="0" borderId="0" xfId="20" applyFont="1" applyAlignment="1" applyProtection="1">
      <alignment horizontal="center"/>
      <protection/>
    </xf>
    <xf numFmtId="177" fontId="0" fillId="2" borderId="45" xfId="0" applyNumberFormat="1" applyFont="1" applyFill="1" applyBorder="1" applyAlignment="1">
      <alignment horizontal="center"/>
    </xf>
    <xf numFmtId="0" fontId="75" fillId="0" borderId="12" xfId="0" applyFont="1" applyBorder="1" applyAlignment="1">
      <alignment horizontal="center"/>
    </xf>
    <xf numFmtId="0" fontId="77" fillId="0" borderId="0" xfId="0" applyFont="1" applyBorder="1" applyAlignment="1">
      <alignment horizontal="center"/>
    </xf>
    <xf numFmtId="177" fontId="71" fillId="0" borderId="0" xfId="0" applyNumberFormat="1" applyFont="1" applyAlignment="1">
      <alignment horizontal="center"/>
    </xf>
    <xf numFmtId="0" fontId="72" fillId="0" borderId="0" xfId="0" applyFont="1" applyAlignment="1">
      <alignment horizontal="center"/>
    </xf>
    <xf numFmtId="0" fontId="1" fillId="2" borderId="0" xfId="0" applyFont="1" applyFill="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1" fillId="0" borderId="47" xfId="0" applyFont="1" applyBorder="1" applyAlignment="1">
      <alignment horizontal="left"/>
    </xf>
    <xf numFmtId="0" fontId="1" fillId="0" borderId="48" xfId="0" applyFont="1" applyBorder="1" applyAlignment="1">
      <alignment horizontal="left"/>
    </xf>
    <xf numFmtId="0" fontId="1" fillId="0" borderId="49" xfId="0" applyFont="1" applyBorder="1" applyAlignment="1">
      <alignment horizontal="left"/>
    </xf>
    <xf numFmtId="0" fontId="1" fillId="0" borderId="50" xfId="0" applyFont="1" applyBorder="1" applyAlignment="1">
      <alignment horizontal="left"/>
    </xf>
    <xf numFmtId="0" fontId="1" fillId="0" borderId="12" xfId="0" applyFont="1" applyBorder="1" applyAlignment="1">
      <alignment horizontal="center"/>
    </xf>
    <xf numFmtId="0" fontId="1" fillId="0" borderId="51" xfId="0" applyFont="1" applyBorder="1" applyAlignment="1">
      <alignment horizontal="left"/>
    </xf>
    <xf numFmtId="0" fontId="1" fillId="0" borderId="52"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val="0"/>
        <i/>
        <color rgb="FFFF0000"/>
      </font>
      <border/>
    </dxf>
    <dxf>
      <font>
        <b val="0"/>
        <i val="0"/>
        <color rgb="FFFFFFFF"/>
      </font>
      <fill>
        <patternFill>
          <bgColor rgb="FFFF0000"/>
        </patternFill>
      </fill>
      <border/>
    </dxf>
    <dxf>
      <font>
        <b val="0"/>
        <i/>
        <color rgb="FFFFFFFF"/>
      </font>
      <fill>
        <patternFill patternType="solid">
          <fgColor rgb="FFFFFFFF"/>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F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image" Target="../media/image8.emf"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
          <c:w val="0.959"/>
          <c:h val="0.95075"/>
        </c:manualLayout>
      </c:layout>
      <c:scatterChart>
        <c:scatterStyle val="lineMarker"/>
        <c:varyColors val="0"/>
        <c:ser>
          <c:idx val="1"/>
          <c:order val="0"/>
          <c:tx>
            <c:strRef>
              <c:f>BPF!$D$14</c:f>
              <c:strCache>
                <c:ptCount val="1"/>
                <c:pt idx="0">
                  <c:v>Butterworth</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00"/>
              </a:solidFill>
              <a:ln>
                <a:solidFill>
                  <a:srgbClr val="FF0000"/>
                </a:solidFill>
              </a:ln>
            </c:spPr>
          </c:marker>
          <c:xVal>
            <c:numRef>
              <c:f>BPF!$C$15:$C$115</c:f>
              <c:numCache>
                <c:ptCount val="101"/>
                <c:pt idx="0">
                  <c:v>670</c:v>
                </c:pt>
                <c:pt idx="1">
                  <c:v>670.6</c:v>
                </c:pt>
                <c:pt idx="2">
                  <c:v>671.2</c:v>
                </c:pt>
                <c:pt idx="3">
                  <c:v>671.8000000000001</c:v>
                </c:pt>
                <c:pt idx="4">
                  <c:v>672.4000000000001</c:v>
                </c:pt>
                <c:pt idx="5">
                  <c:v>673.0000000000001</c:v>
                </c:pt>
                <c:pt idx="6">
                  <c:v>673.6000000000001</c:v>
                </c:pt>
                <c:pt idx="7">
                  <c:v>674.2000000000002</c:v>
                </c:pt>
                <c:pt idx="8">
                  <c:v>674.8000000000002</c:v>
                </c:pt>
                <c:pt idx="9">
                  <c:v>675.4000000000002</c:v>
                </c:pt>
                <c:pt idx="10">
                  <c:v>676.0000000000002</c:v>
                </c:pt>
                <c:pt idx="11">
                  <c:v>676.6000000000003</c:v>
                </c:pt>
                <c:pt idx="12">
                  <c:v>677.2000000000003</c:v>
                </c:pt>
                <c:pt idx="13">
                  <c:v>677.8000000000003</c:v>
                </c:pt>
                <c:pt idx="14">
                  <c:v>678.4000000000003</c:v>
                </c:pt>
                <c:pt idx="15">
                  <c:v>679.0000000000003</c:v>
                </c:pt>
                <c:pt idx="16">
                  <c:v>679.6000000000004</c:v>
                </c:pt>
                <c:pt idx="17">
                  <c:v>680.2000000000004</c:v>
                </c:pt>
                <c:pt idx="18">
                  <c:v>680.8000000000004</c:v>
                </c:pt>
                <c:pt idx="19">
                  <c:v>681.4000000000004</c:v>
                </c:pt>
                <c:pt idx="20">
                  <c:v>682.0000000000005</c:v>
                </c:pt>
                <c:pt idx="21">
                  <c:v>682.6000000000005</c:v>
                </c:pt>
                <c:pt idx="22">
                  <c:v>683.2000000000005</c:v>
                </c:pt>
                <c:pt idx="23">
                  <c:v>683.8000000000005</c:v>
                </c:pt>
                <c:pt idx="24">
                  <c:v>684.4000000000005</c:v>
                </c:pt>
                <c:pt idx="25">
                  <c:v>685.0000000000006</c:v>
                </c:pt>
                <c:pt idx="26">
                  <c:v>685.6000000000006</c:v>
                </c:pt>
                <c:pt idx="27">
                  <c:v>686.2000000000006</c:v>
                </c:pt>
                <c:pt idx="28">
                  <c:v>686.8000000000006</c:v>
                </c:pt>
                <c:pt idx="29">
                  <c:v>687.4000000000007</c:v>
                </c:pt>
                <c:pt idx="30">
                  <c:v>688.0000000000007</c:v>
                </c:pt>
                <c:pt idx="31">
                  <c:v>688.6000000000007</c:v>
                </c:pt>
                <c:pt idx="32">
                  <c:v>689.2000000000007</c:v>
                </c:pt>
                <c:pt idx="33">
                  <c:v>689.8000000000008</c:v>
                </c:pt>
                <c:pt idx="34">
                  <c:v>690.4000000000008</c:v>
                </c:pt>
                <c:pt idx="35">
                  <c:v>691.0000000000008</c:v>
                </c:pt>
                <c:pt idx="36">
                  <c:v>691.6000000000008</c:v>
                </c:pt>
                <c:pt idx="37">
                  <c:v>692.2000000000008</c:v>
                </c:pt>
                <c:pt idx="38">
                  <c:v>692.8000000000009</c:v>
                </c:pt>
                <c:pt idx="39">
                  <c:v>693.4000000000009</c:v>
                </c:pt>
                <c:pt idx="40">
                  <c:v>694.0000000000009</c:v>
                </c:pt>
                <c:pt idx="41">
                  <c:v>694.6000000000009</c:v>
                </c:pt>
                <c:pt idx="42">
                  <c:v>695.200000000001</c:v>
                </c:pt>
                <c:pt idx="43">
                  <c:v>695.800000000001</c:v>
                </c:pt>
                <c:pt idx="44">
                  <c:v>696.400000000001</c:v>
                </c:pt>
                <c:pt idx="45">
                  <c:v>697.000000000001</c:v>
                </c:pt>
                <c:pt idx="46">
                  <c:v>697.600000000001</c:v>
                </c:pt>
                <c:pt idx="47">
                  <c:v>698.2000000000011</c:v>
                </c:pt>
                <c:pt idx="48">
                  <c:v>698.8000000000011</c:v>
                </c:pt>
                <c:pt idx="49">
                  <c:v>699.4000000000011</c:v>
                </c:pt>
                <c:pt idx="50">
                  <c:v>700.0000000000011</c:v>
                </c:pt>
                <c:pt idx="51">
                  <c:v>700.6000000000012</c:v>
                </c:pt>
                <c:pt idx="52">
                  <c:v>701.2000000000012</c:v>
                </c:pt>
                <c:pt idx="53">
                  <c:v>701.8000000000012</c:v>
                </c:pt>
                <c:pt idx="54">
                  <c:v>702.4000000000012</c:v>
                </c:pt>
                <c:pt idx="55">
                  <c:v>703.0000000000013</c:v>
                </c:pt>
                <c:pt idx="56">
                  <c:v>703.6000000000013</c:v>
                </c:pt>
                <c:pt idx="57">
                  <c:v>704.2000000000013</c:v>
                </c:pt>
                <c:pt idx="58">
                  <c:v>704.8000000000013</c:v>
                </c:pt>
                <c:pt idx="59">
                  <c:v>705.4000000000013</c:v>
                </c:pt>
                <c:pt idx="60">
                  <c:v>706.0000000000014</c:v>
                </c:pt>
                <c:pt idx="61">
                  <c:v>706.6000000000014</c:v>
                </c:pt>
                <c:pt idx="62">
                  <c:v>707.2000000000014</c:v>
                </c:pt>
                <c:pt idx="63">
                  <c:v>707.8000000000014</c:v>
                </c:pt>
                <c:pt idx="64">
                  <c:v>708.4000000000015</c:v>
                </c:pt>
                <c:pt idx="65">
                  <c:v>709.0000000000015</c:v>
                </c:pt>
                <c:pt idx="66">
                  <c:v>709.6000000000015</c:v>
                </c:pt>
                <c:pt idx="67">
                  <c:v>710.2000000000015</c:v>
                </c:pt>
                <c:pt idx="68">
                  <c:v>710.8000000000015</c:v>
                </c:pt>
                <c:pt idx="69">
                  <c:v>711.4000000000016</c:v>
                </c:pt>
                <c:pt idx="70">
                  <c:v>712.0000000000016</c:v>
                </c:pt>
                <c:pt idx="71">
                  <c:v>712.6000000000016</c:v>
                </c:pt>
                <c:pt idx="72">
                  <c:v>713.2000000000016</c:v>
                </c:pt>
                <c:pt idx="73">
                  <c:v>713.8000000000017</c:v>
                </c:pt>
                <c:pt idx="74">
                  <c:v>714.4000000000017</c:v>
                </c:pt>
                <c:pt idx="75">
                  <c:v>715.0000000000017</c:v>
                </c:pt>
                <c:pt idx="76">
                  <c:v>715.6000000000017</c:v>
                </c:pt>
                <c:pt idx="77">
                  <c:v>716.2000000000018</c:v>
                </c:pt>
                <c:pt idx="78">
                  <c:v>716.8000000000018</c:v>
                </c:pt>
                <c:pt idx="79">
                  <c:v>717.4000000000018</c:v>
                </c:pt>
                <c:pt idx="80">
                  <c:v>718.0000000000018</c:v>
                </c:pt>
                <c:pt idx="81">
                  <c:v>718.6000000000018</c:v>
                </c:pt>
                <c:pt idx="82">
                  <c:v>719.2000000000019</c:v>
                </c:pt>
                <c:pt idx="83">
                  <c:v>719.8000000000019</c:v>
                </c:pt>
                <c:pt idx="84">
                  <c:v>720.4000000000019</c:v>
                </c:pt>
                <c:pt idx="85">
                  <c:v>721.0000000000019</c:v>
                </c:pt>
                <c:pt idx="86">
                  <c:v>721.600000000002</c:v>
                </c:pt>
                <c:pt idx="87">
                  <c:v>722.200000000002</c:v>
                </c:pt>
                <c:pt idx="88">
                  <c:v>722.800000000002</c:v>
                </c:pt>
                <c:pt idx="89">
                  <c:v>723.400000000002</c:v>
                </c:pt>
                <c:pt idx="90">
                  <c:v>724.000000000002</c:v>
                </c:pt>
                <c:pt idx="91">
                  <c:v>724.6000000000021</c:v>
                </c:pt>
                <c:pt idx="92">
                  <c:v>725.2000000000021</c:v>
                </c:pt>
                <c:pt idx="93">
                  <c:v>725.8000000000021</c:v>
                </c:pt>
                <c:pt idx="94">
                  <c:v>726.4000000000021</c:v>
                </c:pt>
                <c:pt idx="95">
                  <c:v>727.0000000000022</c:v>
                </c:pt>
                <c:pt idx="96">
                  <c:v>727.6000000000022</c:v>
                </c:pt>
                <c:pt idx="97">
                  <c:v>728.2000000000022</c:v>
                </c:pt>
                <c:pt idx="98">
                  <c:v>728.8000000000022</c:v>
                </c:pt>
                <c:pt idx="99">
                  <c:v>729.4000000000023</c:v>
                </c:pt>
                <c:pt idx="100">
                  <c:v>730.0000000000023</c:v>
                </c:pt>
              </c:numCache>
            </c:numRef>
          </c:xVal>
          <c:yVal>
            <c:numRef>
              <c:f>BPF!$D$15:$D$115</c:f>
              <c:numCache>
                <c:ptCount val="101"/>
                <c:pt idx="0">
                  <c:v>-94.01520908905712</c:v>
                </c:pt>
                <c:pt idx="1">
                  <c:v>-93.22178942688664</c:v>
                </c:pt>
                <c:pt idx="2">
                  <c:v>-92.41436942514173</c:v>
                </c:pt>
                <c:pt idx="3">
                  <c:v>-91.5924308906084</c:v>
                </c:pt>
                <c:pt idx="4">
                  <c:v>-90.7554263798123</c:v>
                </c:pt>
                <c:pt idx="5">
                  <c:v>-89.90277695503059</c:v>
                </c:pt>
                <c:pt idx="6">
                  <c:v>-89.0338697208994</c:v>
                </c:pt>
                <c:pt idx="7">
                  <c:v>-88.148055115363</c:v>
                </c:pt>
                <c:pt idx="8">
                  <c:v>-87.24464392496569</c:v>
                </c:pt>
                <c:pt idx="9">
                  <c:v>-86.32290399012777</c:v>
                </c:pt>
                <c:pt idx="10">
                  <c:v>-85.3820565609443</c:v>
                </c:pt>
                <c:pt idx="11">
                  <c:v>-84.42127225805672</c:v>
                </c:pt>
                <c:pt idx="12">
                  <c:v>-83.4396665860987</c:v>
                </c:pt>
                <c:pt idx="13">
                  <c:v>-82.4362949388935</c:v>
                </c:pt>
                <c:pt idx="14">
                  <c:v>-81.41014702570529</c:v>
                </c:pt>
                <c:pt idx="15">
                  <c:v>-80.360140636107</c:v>
                </c:pt>
                <c:pt idx="16">
                  <c:v>-79.2851146469943</c:v>
                </c:pt>
                <c:pt idx="17">
                  <c:v>-78.18382115845371</c:v>
                </c:pt>
                <c:pt idx="18">
                  <c:v>-77.05491662492604</c:v>
                </c:pt>
                <c:pt idx="19">
                  <c:v>-75.8969518235945</c:v>
                </c:pt>
                <c:pt idx="20">
                  <c:v>-74.70836047212934</c:v>
                </c:pt>
                <c:pt idx="21">
                  <c:v>-73.4874462715344</c:v>
                </c:pt>
                <c:pt idx="22">
                  <c:v>-72.2323681051662</c:v>
                </c:pt>
                <c:pt idx="23">
                  <c:v>-70.94112306986297</c:v>
                </c:pt>
                <c:pt idx="24">
                  <c:v>-69.61152694667861</c:v>
                </c:pt>
                <c:pt idx="25">
                  <c:v>-68.24119163326289</c:v>
                </c:pt>
                <c:pt idx="26">
                  <c:v>-66.82749895253544</c:v>
                </c:pt>
                <c:pt idx="27">
                  <c:v>-65.36757011646563</c:v>
                </c:pt>
                <c:pt idx="28">
                  <c:v>-63.85822995073163</c:v>
                </c:pt>
                <c:pt idx="29">
                  <c:v>-62.295964763978645</c:v>
                </c:pt>
                <c:pt idx="30">
                  <c:v>-60.67687245823424</c:v>
                </c:pt>
                <c:pt idx="31">
                  <c:v>-58.996603102669596</c:v>
                </c:pt>
                <c:pt idx="32">
                  <c:v>-57.250287700689</c:v>
                </c:pt>
                <c:pt idx="33">
                  <c:v>-55.432452227677665</c:v>
                </c:pt>
                <c:pt idx="34">
                  <c:v>-53.53691314387133</c:v>
                </c:pt>
                <c:pt idx="35">
                  <c:v>-51.55664941001835</c:v>
                </c:pt>
                <c:pt idx="36">
                  <c:v>-49.4836444361991</c:v>
                </c:pt>
                <c:pt idx="37">
                  <c:v>-47.30868921795073</c:v>
                </c:pt>
                <c:pt idx="38">
                  <c:v>-45.02113495645393</c:v>
                </c:pt>
                <c:pt idx="39">
                  <c:v>-42.60857950679459</c:v>
                </c:pt>
                <c:pt idx="40">
                  <c:v>-40.05646697502402</c:v>
                </c:pt>
                <c:pt idx="41">
                  <c:v>-37.3475743070715</c:v>
                </c:pt>
                <c:pt idx="42">
                  <c:v>-34.46135597761139</c:v>
                </c:pt>
                <c:pt idx="43">
                  <c:v>-31.373130153781744</c:v>
                </c:pt>
                <c:pt idx="44">
                  <c:v>-28.053161272626802</c:v>
                </c:pt>
                <c:pt idx="45">
                  <c:v>-24.465986889509367</c:v>
                </c:pt>
                <c:pt idx="46">
                  <c:v>-20.57146982282857</c:v>
                </c:pt>
                <c:pt idx="47">
                  <c:v>-16.33350701956091</c:v>
                </c:pt>
                <c:pt idx="48">
                  <c:v>-11.759958688637038</c:v>
                </c:pt>
                <c:pt idx="49">
                  <c:v>-7.057027529596688</c:v>
                </c:pt>
                <c:pt idx="50">
                  <c:v>-3.010299956633631</c:v>
                </c:pt>
                <c:pt idx="51">
                  <c:v>-0.7738508100556714</c:v>
                </c:pt>
                <c:pt idx="52">
                  <c:v>-0.11851980003723082</c:v>
                </c:pt>
                <c:pt idx="53">
                  <c:v>-0.010596369268348563</c:v>
                </c:pt>
                <c:pt idx="54">
                  <c:v>-0.00042886064771063175</c:v>
                </c:pt>
                <c:pt idx="55">
                  <c:v>-3.720508534192297E-06</c:v>
                </c:pt>
                <c:pt idx="56">
                  <c:v>-3.2644991993014884E-10</c:v>
                </c:pt>
                <c:pt idx="57">
                  <c:v>-7.357818569800958E-13</c:v>
                </c:pt>
                <c:pt idx="58">
                  <c:v>-5.091429649041887E-07</c:v>
                </c:pt>
                <c:pt idx="59">
                  <c:v>-0.00012859397840106831</c:v>
                </c:pt>
                <c:pt idx="60">
                  <c:v>-0.004422609014128389</c:v>
                </c:pt>
                <c:pt idx="61">
                  <c:v>-0.059544951256864</c:v>
                </c:pt>
                <c:pt idx="62">
                  <c:v>-0.4483304710011633</c:v>
                </c:pt>
                <c:pt idx="63">
                  <c:v>-2.0424904498704928</c:v>
                </c:pt>
                <c:pt idx="64">
                  <c:v>-5.538583259734323</c:v>
                </c:pt>
                <c:pt idx="65">
                  <c:v>-10.08416081092632</c:v>
                </c:pt>
                <c:pt idx="66">
                  <c:v>-14.67922670567611</c:v>
                </c:pt>
                <c:pt idx="67">
                  <c:v>-18.977671908023034</c:v>
                </c:pt>
                <c:pt idx="68">
                  <c:v>-22.930994297054635</c:v>
                </c:pt>
                <c:pt idx="69">
                  <c:v>-26.566583718527706</c:v>
                </c:pt>
                <c:pt idx="70">
                  <c:v>-29.92404553868443</c:v>
                </c:pt>
                <c:pt idx="71">
                  <c:v>-33.04014533832468</c:v>
                </c:pt>
                <c:pt idx="72">
                  <c:v>-35.94613179113462</c:v>
                </c:pt>
                <c:pt idx="73">
                  <c:v>-38.66802388975247</c:v>
                </c:pt>
                <c:pt idx="74">
                  <c:v>-41.227470321700636</c:v>
                </c:pt>
                <c:pt idx="75">
                  <c:v>-43.642587452865385</c:v>
                </c:pt>
                <c:pt idx="76">
                  <c:v>-45.92865339075714</c:v>
                </c:pt>
                <c:pt idx="77">
                  <c:v>-48.09865698245251</c:v>
                </c:pt>
                <c:pt idx="78">
                  <c:v>-50.16372709071674</c:v>
                </c:pt>
                <c:pt idx="79">
                  <c:v>-52.133468653947105</c:v>
                </c:pt>
                <c:pt idx="80">
                  <c:v>-54.016227407742655</c:v>
                </c:pt>
                <c:pt idx="81">
                  <c:v>-55.8193001069419</c:v>
                </c:pt>
                <c:pt idx="82">
                  <c:v>-57.54910291607182</c:v>
                </c:pt>
                <c:pt idx="83">
                  <c:v>-59.21130745266656</c:v>
                </c:pt>
                <c:pt idx="84">
                  <c:v>-60.81095160564619</c:v>
                </c:pt>
                <c:pt idx="85">
                  <c:v>-62.352530511809746</c:v>
                </c:pt>
                <c:pt idx="86">
                  <c:v>-63.840071791610605</c:v>
                </c:pt>
                <c:pt idx="87">
                  <c:v>-65.27719819544305</c:v>
                </c:pt>
                <c:pt idx="88">
                  <c:v>-66.66718010251418</c:v>
                </c:pt>
                <c:pt idx="89">
                  <c:v>-68.01297978063826</c:v>
                </c:pt>
                <c:pt idx="90">
                  <c:v>-69.31728891016479</c:v>
                </c:pt>
                <c:pt idx="91">
                  <c:v>-70.58256056519227</c:v>
                </c:pt>
                <c:pt idx="92">
                  <c:v>-71.81103660596717</c:v>
                </c:pt>
                <c:pt idx="93">
                  <c:v>-73.00477125032926</c:v>
                </c:pt>
                <c:pt idx="94">
                  <c:v>-74.16565144630445</c:v>
                </c:pt>
                <c:pt idx="95">
                  <c:v>-75.2954145529491</c:v>
                </c:pt>
                <c:pt idx="96">
                  <c:v>-76.39566374519961</c:v>
                </c:pt>
                <c:pt idx="97">
                  <c:v>-77.46788148546456</c:v>
                </c:pt>
                <c:pt idx="98">
                  <c:v>-78.51344134595864</c:v>
                </c:pt>
                <c:pt idx="99">
                  <c:v>-79.53361841827848</c:v>
                </c:pt>
                <c:pt idx="100">
                  <c:v>-80.52959850807616</c:v>
                </c:pt>
              </c:numCache>
            </c:numRef>
          </c:yVal>
          <c:smooth val="0"/>
        </c:ser>
        <c:ser>
          <c:idx val="0"/>
          <c:order val="1"/>
          <c:tx>
            <c:v>Chebyshev</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8000"/>
              </a:solidFill>
              <a:ln>
                <a:solidFill>
                  <a:srgbClr val="008000"/>
                </a:solidFill>
              </a:ln>
            </c:spPr>
          </c:marker>
          <c:xVal>
            <c:numRef>
              <c:f>BPF!$C$15:$C$115</c:f>
              <c:numCache>
                <c:ptCount val="101"/>
                <c:pt idx="0">
                  <c:v>670</c:v>
                </c:pt>
                <c:pt idx="1">
                  <c:v>670.6</c:v>
                </c:pt>
                <c:pt idx="2">
                  <c:v>671.2</c:v>
                </c:pt>
                <c:pt idx="3">
                  <c:v>671.8000000000001</c:v>
                </c:pt>
                <c:pt idx="4">
                  <c:v>672.4000000000001</c:v>
                </c:pt>
                <c:pt idx="5">
                  <c:v>673.0000000000001</c:v>
                </c:pt>
                <c:pt idx="6">
                  <c:v>673.6000000000001</c:v>
                </c:pt>
                <c:pt idx="7">
                  <c:v>674.2000000000002</c:v>
                </c:pt>
                <c:pt idx="8">
                  <c:v>674.8000000000002</c:v>
                </c:pt>
                <c:pt idx="9">
                  <c:v>675.4000000000002</c:v>
                </c:pt>
                <c:pt idx="10">
                  <c:v>676.0000000000002</c:v>
                </c:pt>
                <c:pt idx="11">
                  <c:v>676.6000000000003</c:v>
                </c:pt>
                <c:pt idx="12">
                  <c:v>677.2000000000003</c:v>
                </c:pt>
                <c:pt idx="13">
                  <c:v>677.8000000000003</c:v>
                </c:pt>
                <c:pt idx="14">
                  <c:v>678.4000000000003</c:v>
                </c:pt>
                <c:pt idx="15">
                  <c:v>679.0000000000003</c:v>
                </c:pt>
                <c:pt idx="16">
                  <c:v>679.6000000000004</c:v>
                </c:pt>
                <c:pt idx="17">
                  <c:v>680.2000000000004</c:v>
                </c:pt>
                <c:pt idx="18">
                  <c:v>680.8000000000004</c:v>
                </c:pt>
                <c:pt idx="19">
                  <c:v>681.4000000000004</c:v>
                </c:pt>
                <c:pt idx="20">
                  <c:v>682.0000000000005</c:v>
                </c:pt>
                <c:pt idx="21">
                  <c:v>682.6000000000005</c:v>
                </c:pt>
                <c:pt idx="22">
                  <c:v>683.2000000000005</c:v>
                </c:pt>
                <c:pt idx="23">
                  <c:v>683.8000000000005</c:v>
                </c:pt>
                <c:pt idx="24">
                  <c:v>684.4000000000005</c:v>
                </c:pt>
                <c:pt idx="25">
                  <c:v>685.0000000000006</c:v>
                </c:pt>
                <c:pt idx="26">
                  <c:v>685.6000000000006</c:v>
                </c:pt>
                <c:pt idx="27">
                  <c:v>686.2000000000006</c:v>
                </c:pt>
                <c:pt idx="28">
                  <c:v>686.8000000000006</c:v>
                </c:pt>
                <c:pt idx="29">
                  <c:v>687.4000000000007</c:v>
                </c:pt>
                <c:pt idx="30">
                  <c:v>688.0000000000007</c:v>
                </c:pt>
                <c:pt idx="31">
                  <c:v>688.6000000000007</c:v>
                </c:pt>
                <c:pt idx="32">
                  <c:v>689.2000000000007</c:v>
                </c:pt>
                <c:pt idx="33">
                  <c:v>689.8000000000008</c:v>
                </c:pt>
                <c:pt idx="34">
                  <c:v>690.4000000000008</c:v>
                </c:pt>
                <c:pt idx="35">
                  <c:v>691.0000000000008</c:v>
                </c:pt>
                <c:pt idx="36">
                  <c:v>691.6000000000008</c:v>
                </c:pt>
                <c:pt idx="37">
                  <c:v>692.2000000000008</c:v>
                </c:pt>
                <c:pt idx="38">
                  <c:v>692.8000000000009</c:v>
                </c:pt>
                <c:pt idx="39">
                  <c:v>693.4000000000009</c:v>
                </c:pt>
                <c:pt idx="40">
                  <c:v>694.0000000000009</c:v>
                </c:pt>
                <c:pt idx="41">
                  <c:v>694.6000000000009</c:v>
                </c:pt>
                <c:pt idx="42">
                  <c:v>695.200000000001</c:v>
                </c:pt>
                <c:pt idx="43">
                  <c:v>695.800000000001</c:v>
                </c:pt>
                <c:pt idx="44">
                  <c:v>696.400000000001</c:v>
                </c:pt>
                <c:pt idx="45">
                  <c:v>697.000000000001</c:v>
                </c:pt>
                <c:pt idx="46">
                  <c:v>697.600000000001</c:v>
                </c:pt>
                <c:pt idx="47">
                  <c:v>698.2000000000011</c:v>
                </c:pt>
                <c:pt idx="48">
                  <c:v>698.8000000000011</c:v>
                </c:pt>
                <c:pt idx="49">
                  <c:v>699.4000000000011</c:v>
                </c:pt>
                <c:pt idx="50">
                  <c:v>700.0000000000011</c:v>
                </c:pt>
                <c:pt idx="51">
                  <c:v>700.6000000000012</c:v>
                </c:pt>
                <c:pt idx="52">
                  <c:v>701.2000000000012</c:v>
                </c:pt>
                <c:pt idx="53">
                  <c:v>701.8000000000012</c:v>
                </c:pt>
                <c:pt idx="54">
                  <c:v>702.4000000000012</c:v>
                </c:pt>
                <c:pt idx="55">
                  <c:v>703.0000000000013</c:v>
                </c:pt>
                <c:pt idx="56">
                  <c:v>703.6000000000013</c:v>
                </c:pt>
                <c:pt idx="57">
                  <c:v>704.2000000000013</c:v>
                </c:pt>
                <c:pt idx="58">
                  <c:v>704.8000000000013</c:v>
                </c:pt>
                <c:pt idx="59">
                  <c:v>705.4000000000013</c:v>
                </c:pt>
                <c:pt idx="60">
                  <c:v>706.0000000000014</c:v>
                </c:pt>
                <c:pt idx="61">
                  <c:v>706.6000000000014</c:v>
                </c:pt>
                <c:pt idx="62">
                  <c:v>707.2000000000014</c:v>
                </c:pt>
                <c:pt idx="63">
                  <c:v>707.8000000000014</c:v>
                </c:pt>
                <c:pt idx="64">
                  <c:v>708.4000000000015</c:v>
                </c:pt>
                <c:pt idx="65">
                  <c:v>709.0000000000015</c:v>
                </c:pt>
                <c:pt idx="66">
                  <c:v>709.6000000000015</c:v>
                </c:pt>
                <c:pt idx="67">
                  <c:v>710.2000000000015</c:v>
                </c:pt>
                <c:pt idx="68">
                  <c:v>710.8000000000015</c:v>
                </c:pt>
                <c:pt idx="69">
                  <c:v>711.4000000000016</c:v>
                </c:pt>
                <c:pt idx="70">
                  <c:v>712.0000000000016</c:v>
                </c:pt>
                <c:pt idx="71">
                  <c:v>712.6000000000016</c:v>
                </c:pt>
                <c:pt idx="72">
                  <c:v>713.2000000000016</c:v>
                </c:pt>
                <c:pt idx="73">
                  <c:v>713.8000000000017</c:v>
                </c:pt>
                <c:pt idx="74">
                  <c:v>714.4000000000017</c:v>
                </c:pt>
                <c:pt idx="75">
                  <c:v>715.0000000000017</c:v>
                </c:pt>
                <c:pt idx="76">
                  <c:v>715.6000000000017</c:v>
                </c:pt>
                <c:pt idx="77">
                  <c:v>716.2000000000018</c:v>
                </c:pt>
                <c:pt idx="78">
                  <c:v>716.8000000000018</c:v>
                </c:pt>
                <c:pt idx="79">
                  <c:v>717.4000000000018</c:v>
                </c:pt>
                <c:pt idx="80">
                  <c:v>718.0000000000018</c:v>
                </c:pt>
                <c:pt idx="81">
                  <c:v>718.6000000000018</c:v>
                </c:pt>
                <c:pt idx="82">
                  <c:v>719.2000000000019</c:v>
                </c:pt>
                <c:pt idx="83">
                  <c:v>719.8000000000019</c:v>
                </c:pt>
                <c:pt idx="84">
                  <c:v>720.4000000000019</c:v>
                </c:pt>
                <c:pt idx="85">
                  <c:v>721.0000000000019</c:v>
                </c:pt>
                <c:pt idx="86">
                  <c:v>721.600000000002</c:v>
                </c:pt>
                <c:pt idx="87">
                  <c:v>722.200000000002</c:v>
                </c:pt>
                <c:pt idx="88">
                  <c:v>722.800000000002</c:v>
                </c:pt>
                <c:pt idx="89">
                  <c:v>723.400000000002</c:v>
                </c:pt>
                <c:pt idx="90">
                  <c:v>724.000000000002</c:v>
                </c:pt>
                <c:pt idx="91">
                  <c:v>724.6000000000021</c:v>
                </c:pt>
                <c:pt idx="92">
                  <c:v>725.2000000000021</c:v>
                </c:pt>
                <c:pt idx="93">
                  <c:v>725.8000000000021</c:v>
                </c:pt>
                <c:pt idx="94">
                  <c:v>726.4000000000021</c:v>
                </c:pt>
                <c:pt idx="95">
                  <c:v>727.0000000000022</c:v>
                </c:pt>
                <c:pt idx="96">
                  <c:v>727.6000000000022</c:v>
                </c:pt>
                <c:pt idx="97">
                  <c:v>728.2000000000022</c:v>
                </c:pt>
                <c:pt idx="98">
                  <c:v>728.8000000000022</c:v>
                </c:pt>
                <c:pt idx="99">
                  <c:v>729.4000000000023</c:v>
                </c:pt>
                <c:pt idx="100">
                  <c:v>730.0000000000023</c:v>
                </c:pt>
              </c:numCache>
            </c:numRef>
          </c:xVal>
          <c:yVal>
            <c:numRef>
              <c:f>BPF!$E$15:$E$115</c:f>
              <c:numCache>
                <c:ptCount val="101"/>
                <c:pt idx="0">
                  <c:v>-91.58102712225039</c:v>
                </c:pt>
                <c:pt idx="1">
                  <c:v>-90.782230647444</c:v>
                </c:pt>
                <c:pt idx="2">
                  <c:v>-89.96913131804442</c:v>
                </c:pt>
                <c:pt idx="3">
                  <c:v>-89.14118786754224</c:v>
                </c:pt>
                <c:pt idx="4">
                  <c:v>-88.29782753589899</c:v>
                </c:pt>
                <c:pt idx="5">
                  <c:v>-87.4384435583139</c:v>
                </c:pt>
                <c:pt idx="6">
                  <c:v>-86.56239239662506</c:v>
                </c:pt>
                <c:pt idx="7">
                  <c:v>-85.66899068078818</c:v>
                </c:pt>
                <c:pt idx="8">
                  <c:v>-84.75751182292649</c:v>
                </c:pt>
                <c:pt idx="9">
                  <c:v>-83.8271822606187</c:v>
                </c:pt>
                <c:pt idx="10">
                  <c:v>-82.87717727919572</c:v>
                </c:pt>
                <c:pt idx="11">
                  <c:v>-81.90661635462726</c:v>
                </c:pt>
                <c:pt idx="12">
                  <c:v>-80.91455794881553</c:v>
                </c:pt>
                <c:pt idx="13">
                  <c:v>-79.89999367742705</c:v>
                </c:pt>
                <c:pt idx="14">
                  <c:v>-78.86184175633272</c:v>
                </c:pt>
                <c:pt idx="15">
                  <c:v>-77.798939615749</c:v>
                </c:pt>
                <c:pt idx="16">
                  <c:v>-76.71003555055505</c:v>
                </c:pt>
                <c:pt idx="17">
                  <c:v>-75.59377925010685</c:v>
                </c:pt>
                <c:pt idx="18">
                  <c:v>-74.44871102000727</c:v>
                </c:pt>
                <c:pt idx="19">
                  <c:v>-73.27324947021155</c:v>
                </c:pt>
                <c:pt idx="20">
                  <c:v>-72.06567739657537</c:v>
                </c:pt>
                <c:pt idx="21">
                  <c:v>-70.82412552389206</c:v>
                </c:pt>
                <c:pt idx="22">
                  <c:v>-69.54655370416752</c:v>
                </c:pt>
                <c:pt idx="23">
                  <c:v>-68.23072906973711</c:v>
                </c:pt>
                <c:pt idx="24">
                  <c:v>-66.87420052060327</c:v>
                </c:pt>
                <c:pt idx="25">
                  <c:v>-65.47426877057342</c:v>
                </c:pt>
                <c:pt idx="26">
                  <c:v>-64.02795097567153</c:v>
                </c:pt>
                <c:pt idx="27">
                  <c:v>-62.531938704559586</c:v>
                </c:pt>
                <c:pt idx="28">
                  <c:v>-60.982547661270814</c:v>
                </c:pt>
                <c:pt idx="29">
                  <c:v>-59.37565710247643</c:v>
                </c:pt>
                <c:pt idx="30">
                  <c:v>-57.70663625705856</c:v>
                </c:pt>
                <c:pt idx="31">
                  <c:v>-55.970254184820654</c:v>
                </c:pt>
                <c:pt idx="32">
                  <c:v>-54.16056829907969</c:v>
                </c:pt>
                <c:pt idx="33">
                  <c:v>-52.27078506613661</c:v>
                </c:pt>
                <c:pt idx="34">
                  <c:v>-50.29308393900536</c:v>
                </c:pt>
                <c:pt idx="35">
                  <c:v>-48.21839200131283</c:v>
                </c:pt>
                <c:pt idx="36">
                  <c:v>-46.036091483748464</c:v>
                </c:pt>
                <c:pt idx="37">
                  <c:v>-43.73363429817069</c:v>
                </c:pt>
                <c:pt idx="38">
                  <c:v>-41.29602545491803</c:v>
                </c:pt>
                <c:pt idx="39">
                  <c:v>-38.70511824382114</c:v>
                </c:pt>
                <c:pt idx="40">
                  <c:v>-35.93863485885873</c:v>
                </c:pt>
                <c:pt idx="41">
                  <c:v>-32.96878321417358</c:v>
                </c:pt>
                <c:pt idx="42">
                  <c:v>-29.76028824136352</c:v>
                </c:pt>
                <c:pt idx="43">
                  <c:v>-26.26764598819515</c:v>
                </c:pt>
                <c:pt idx="44">
                  <c:v>-22.4317407524618</c:v>
                </c:pt>
                <c:pt idx="45">
                  <c:v>-18.17822264182157</c:v>
                </c:pt>
                <c:pt idx="46">
                  <c:v>-13.432818634324054</c:v>
                </c:pt>
                <c:pt idx="47">
                  <c:v>-8.237829292215583</c:v>
                </c:pt>
                <c:pt idx="48">
                  <c:v>-3.3022357172567545</c:v>
                </c:pt>
                <c:pt idx="49">
                  <c:v>-0.5395007616739973</c:v>
                </c:pt>
                <c:pt idx="50">
                  <c:v>-0.009999999999857376</c:v>
                </c:pt>
                <c:pt idx="51">
                  <c:v>-0.008760097742558617</c:v>
                </c:pt>
                <c:pt idx="52">
                  <c:v>-0.004402511032767512</c:v>
                </c:pt>
                <c:pt idx="53">
                  <c:v>-0.0005733489386108043</c:v>
                </c:pt>
                <c:pt idx="54">
                  <c:v>-0.007920495290473496</c:v>
                </c:pt>
                <c:pt idx="55">
                  <c:v>-0.009004553470142606</c:v>
                </c:pt>
                <c:pt idx="56">
                  <c:v>-0.002189491241611361</c:v>
                </c:pt>
                <c:pt idx="57">
                  <c:v>-0.000683102411456061</c:v>
                </c:pt>
                <c:pt idx="58">
                  <c:v>-0.007269366153419486</c:v>
                </c:pt>
                <c:pt idx="59">
                  <c:v>-0.009479296049610477</c:v>
                </c:pt>
                <c:pt idx="60">
                  <c:v>-0.0023965537936284104</c:v>
                </c:pt>
                <c:pt idx="61">
                  <c:v>-0.0015692291563367108</c:v>
                </c:pt>
                <c:pt idx="62">
                  <c:v>-0.009954667443361202</c:v>
                </c:pt>
                <c:pt idx="63">
                  <c:v>-1.586401353829814E-06</c:v>
                </c:pt>
                <c:pt idx="64">
                  <c:v>-0.208497430937103</c:v>
                </c:pt>
                <c:pt idx="65">
                  <c:v>-1.9835966361032622</c:v>
                </c:pt>
                <c:pt idx="66">
                  <c:v>-6.301533048863766</c:v>
                </c:pt>
                <c:pt idx="67">
                  <c:v>-11.467337951497584</c:v>
                </c:pt>
                <c:pt idx="68">
                  <c:v>-16.32207276398484</c:v>
                </c:pt>
                <c:pt idx="69">
                  <c:v>-20.683387968440037</c:v>
                </c:pt>
                <c:pt idx="70">
                  <c:v>-24.604505345079822</c:v>
                </c:pt>
                <c:pt idx="71">
                  <c:v>-28.16123961557983</c:v>
                </c:pt>
                <c:pt idx="72">
                  <c:v>-31.41700988110369</c:v>
                </c:pt>
                <c:pt idx="73">
                  <c:v>-34.421064331359396</c:v>
                </c:pt>
                <c:pt idx="74">
                  <c:v>-37.21151798368441</c:v>
                </c:pt>
                <c:pt idx="75">
                  <c:v>-39.81826744430482</c:v>
                </c:pt>
                <c:pt idx="76">
                  <c:v>-42.265159468555694</c:v>
                </c:pt>
                <c:pt idx="77">
                  <c:v>-44.5715275852223</c:v>
                </c:pt>
                <c:pt idx="78">
                  <c:v>-46.75327944611655</c:v>
                </c:pt>
                <c:pt idx="79">
                  <c:v>-48.82367634261682</c:v>
                </c:pt>
                <c:pt idx="80">
                  <c:v>-50.7939017411714</c:v>
                </c:pt>
                <c:pt idx="81">
                  <c:v>-52.67348336668555</c:v>
                </c:pt>
                <c:pt idx="82">
                  <c:v>-54.47061190809087</c:v>
                </c:pt>
                <c:pt idx="83">
                  <c:v>-56.19238545975023</c:v>
                </c:pt>
                <c:pt idx="84">
                  <c:v>-57.84499969802038</c:v>
                </c:pt>
                <c:pt idx="85">
                  <c:v>-59.433897768558225</c:v>
                </c:pt>
                <c:pt idx="86">
                  <c:v>-60.963889815998364</c:v>
                </c:pt>
                <c:pt idx="87">
                  <c:v>-62.43924932733714</c:v>
                </c:pt>
                <c:pt idx="88">
                  <c:v>-63.86379154502343</c:v>
                </c:pt>
                <c:pt idx="89">
                  <c:v>-65.24093785563511</c:v>
                </c:pt>
                <c:pt idx="90">
                  <c:v>-66.57376909405079</c:v>
                </c:pt>
                <c:pt idx="91">
                  <c:v>-67.8650700022473</c:v>
                </c:pt>
                <c:pt idx="92">
                  <c:v>-69.11736656682055</c:v>
                </c:pt>
                <c:pt idx="93">
                  <c:v>-70.33295757623544</c:v>
                </c:pt>
                <c:pt idx="94">
                  <c:v>-71.51394145063631</c:v>
                </c:pt>
                <c:pt idx="95">
                  <c:v>-72.66223917801624</c:v>
                </c:pt>
                <c:pt idx="96">
                  <c:v>-73.77961402243186</c:v>
                </c:pt>
                <c:pt idx="97">
                  <c:v>-74.86768853976092</c:v>
                </c:pt>
                <c:pt idx="98">
                  <c:v>-75.92795933480113</c:v>
                </c:pt>
                <c:pt idx="99">
                  <c:v>-76.9618099134606</c:v>
                </c:pt>
                <c:pt idx="100">
                  <c:v>-77.970521920291</c:v>
                </c:pt>
              </c:numCache>
            </c:numRef>
          </c:yVal>
          <c:smooth val="0"/>
        </c:ser>
        <c:axId val="13825520"/>
        <c:axId val="57320817"/>
      </c:scatterChart>
      <c:valAx>
        <c:axId val="13825520"/>
        <c:scaling>
          <c:orientation val="minMax"/>
        </c:scaling>
        <c:axPos val="b"/>
        <c:title>
          <c:tx>
            <c:rich>
              <a:bodyPr vert="horz" rot="0" anchor="ctr"/>
              <a:lstStyle/>
              <a:p>
                <a:pPr algn="ctr">
                  <a:defRPr/>
                </a:pPr>
                <a:r>
                  <a:rPr lang="en-US" cap="none" sz="800" b="0" i="0" u="none" baseline="0">
                    <a:latin typeface="Arial"/>
                    <a:ea typeface="Arial"/>
                    <a:cs typeface="Arial"/>
                  </a:rPr>
                  <a:t>Frequency</a:t>
                </a:r>
              </a:p>
            </c:rich>
          </c:tx>
          <c:layout>
            <c:manualLayout>
              <c:xMode val="factor"/>
              <c:yMode val="factor"/>
              <c:x val="-0.01775"/>
              <c:y val="-0.0027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7320817"/>
        <c:crosses val="autoZero"/>
        <c:crossBetween val="midCat"/>
        <c:dispUnits/>
      </c:valAx>
      <c:valAx>
        <c:axId val="57320817"/>
        <c:scaling>
          <c:orientation val="minMax"/>
        </c:scaling>
        <c:axPos val="l"/>
        <c:title>
          <c:tx>
            <c:rich>
              <a:bodyPr vert="horz" rot="-5400000" anchor="ctr"/>
              <a:lstStyle/>
              <a:p>
                <a:pPr algn="ctr">
                  <a:defRPr/>
                </a:pPr>
                <a:r>
                  <a:rPr lang="en-US" cap="none" sz="800" b="0" i="0" u="none" baseline="0">
                    <a:latin typeface="Arial"/>
                    <a:ea typeface="Arial"/>
                    <a:cs typeface="Arial"/>
                  </a:rPr>
                  <a:t>Gain (dB)</a:t>
                </a:r>
              </a:p>
            </c:rich>
          </c:tx>
          <c:layout>
            <c:manualLayout>
              <c:xMode val="factor"/>
              <c:yMode val="factor"/>
              <c:x val="-0.0135"/>
              <c:y val="-0.0022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825520"/>
        <c:crosses val="autoZero"/>
        <c:crossBetween val="midCat"/>
        <c:dispUnits/>
      </c:valAx>
      <c:spPr>
        <a:gradFill rotWithShape="1">
          <a:gsLst>
            <a:gs pos="0">
              <a:srgbClr val="99CCFF"/>
            </a:gs>
            <a:gs pos="100000">
              <a:srgbClr val="FFFFFF"/>
            </a:gs>
          </a:gsLst>
          <a:path path="rect">
            <a:fillToRect l="50000" t="50000" r="50000" b="50000"/>
          </a:path>
        </a:gradFill>
        <a:ln w="12700">
          <a:solidFill>
            <a:srgbClr val="808080"/>
          </a:solidFill>
        </a:ln>
      </c:spPr>
    </c:plotArea>
    <c:legend>
      <c:legendPos val="r"/>
      <c:layout>
        <c:manualLayout>
          <c:xMode val="edge"/>
          <c:yMode val="edge"/>
          <c:x val="0.72375"/>
          <c:y val="0.106"/>
          <c:w val="0.21925"/>
          <c:h val="0.10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
          <c:w val="0.959"/>
          <c:h val="0.9475"/>
        </c:manualLayout>
      </c:layout>
      <c:scatterChart>
        <c:scatterStyle val="lineMarker"/>
        <c:varyColors val="0"/>
        <c:ser>
          <c:idx val="1"/>
          <c:order val="0"/>
          <c:tx>
            <c:strRef>
              <c:f>HPF!$D$13</c:f>
              <c:strCache>
                <c:ptCount val="1"/>
                <c:pt idx="0">
                  <c:v>Butterworth</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00"/>
              </a:solidFill>
              <a:ln>
                <a:solidFill>
                  <a:srgbClr val="FF0000"/>
                </a:solidFill>
              </a:ln>
            </c:spPr>
          </c:marker>
          <c:xVal>
            <c:numRef>
              <c:f>HPF!$C$15:$C$115</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xVal>
          <c:yVal>
            <c:numRef>
              <c:f>HPF!$D$14:$D$114</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yVal>
          <c:smooth val="0"/>
        </c:ser>
        <c:ser>
          <c:idx val="0"/>
          <c:order val="1"/>
          <c:tx>
            <c:v>Chebyshev</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8000"/>
              </a:solidFill>
              <a:ln>
                <a:solidFill>
                  <a:srgbClr val="008000"/>
                </a:solidFill>
              </a:ln>
            </c:spPr>
          </c:marker>
          <c:xVal>
            <c:numRef>
              <c:f>HPF!$C$15:$C$115</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xVal>
          <c:yVal>
            <c:numRef>
              <c:f>HPF!$E$14:$E$114</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yVal>
          <c:smooth val="0"/>
        </c:ser>
        <c:axId val="46125306"/>
        <c:axId val="12474571"/>
      </c:scatterChart>
      <c:valAx>
        <c:axId val="46125306"/>
        <c:scaling>
          <c:orientation val="minMax"/>
        </c:scaling>
        <c:axPos val="b"/>
        <c:title>
          <c:tx>
            <c:rich>
              <a:bodyPr vert="horz" rot="0" anchor="ctr"/>
              <a:lstStyle/>
              <a:p>
                <a:pPr algn="ctr">
                  <a:defRPr/>
                </a:pPr>
                <a:r>
                  <a:rPr lang="en-US" cap="none" sz="800" b="0" i="0" u="none" baseline="0">
                    <a:latin typeface="Arial"/>
                    <a:ea typeface="Arial"/>
                    <a:cs typeface="Arial"/>
                  </a:rPr>
                  <a:t>Frequency</a:t>
                </a:r>
              </a:p>
            </c:rich>
          </c:tx>
          <c:layout>
            <c:manualLayout>
              <c:xMode val="factor"/>
              <c:yMode val="factor"/>
              <c:x val="-0.01775"/>
              <c:y val="-0.0027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2474571"/>
        <c:crosses val="autoZero"/>
        <c:crossBetween val="midCat"/>
        <c:dispUnits/>
      </c:valAx>
      <c:valAx>
        <c:axId val="12474571"/>
        <c:scaling>
          <c:orientation val="minMax"/>
        </c:scaling>
        <c:axPos val="l"/>
        <c:title>
          <c:tx>
            <c:rich>
              <a:bodyPr vert="horz" rot="-5400000" anchor="ctr"/>
              <a:lstStyle/>
              <a:p>
                <a:pPr algn="ctr">
                  <a:defRPr/>
                </a:pPr>
                <a:r>
                  <a:rPr lang="en-US" cap="none" sz="800" b="0" i="0" u="none" baseline="0">
                    <a:latin typeface="Arial"/>
                    <a:ea typeface="Arial"/>
                    <a:cs typeface="Arial"/>
                  </a:rPr>
                  <a:t>Gain (dB)</a:t>
                </a:r>
              </a:p>
            </c:rich>
          </c:tx>
          <c:layout>
            <c:manualLayout>
              <c:xMode val="factor"/>
              <c:yMode val="factor"/>
              <c:x val="-0.0135"/>
              <c:y val="-0.0022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125306"/>
        <c:crosses val="autoZero"/>
        <c:crossBetween val="midCat"/>
        <c:dispUnits/>
      </c:valAx>
      <c:spPr>
        <a:gradFill rotWithShape="1">
          <a:gsLst>
            <a:gs pos="0">
              <a:srgbClr val="99CCFF"/>
            </a:gs>
            <a:gs pos="100000">
              <a:srgbClr val="FFFFFF"/>
            </a:gs>
          </a:gsLst>
          <a:path path="rect">
            <a:fillToRect l="50000" t="50000" r="50000" b="50000"/>
          </a:path>
        </a:gradFill>
        <a:ln w="12700">
          <a:solidFill>
            <a:srgbClr val="808080"/>
          </a:solidFill>
        </a:ln>
      </c:spPr>
    </c:plotArea>
    <c:legend>
      <c:legendPos val="r"/>
      <c:layout>
        <c:manualLayout>
          <c:xMode val="edge"/>
          <c:yMode val="edge"/>
          <c:x val="0.726"/>
          <c:y val="0.10475"/>
          <c:w val="0.21925"/>
          <c:h val="0.108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
          <c:w val="0.959"/>
          <c:h val="0.9475"/>
        </c:manualLayout>
      </c:layout>
      <c:scatterChart>
        <c:scatterStyle val="lineMarker"/>
        <c:varyColors val="0"/>
        <c:ser>
          <c:idx val="1"/>
          <c:order val="0"/>
          <c:tx>
            <c:strRef>
              <c:f>LPF!$D$13</c:f>
              <c:strCache>
                <c:ptCount val="1"/>
                <c:pt idx="0">
                  <c:v>Butterworth</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00"/>
              </a:solidFill>
              <a:ln>
                <a:solidFill>
                  <a:srgbClr val="FF0000"/>
                </a:solidFill>
              </a:ln>
            </c:spPr>
          </c:marker>
          <c:xVal>
            <c:numRef>
              <c:f>LPF!$C$15:$C$115</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xVal>
          <c:yVal>
            <c:numRef>
              <c:f>LPF!$D$14:$D$114</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yVal>
          <c:smooth val="0"/>
        </c:ser>
        <c:ser>
          <c:idx val="0"/>
          <c:order val="1"/>
          <c:tx>
            <c:v>Chebyshev</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8000"/>
              </a:solidFill>
              <a:ln>
                <a:solidFill>
                  <a:srgbClr val="008000"/>
                </a:solidFill>
              </a:ln>
            </c:spPr>
          </c:marker>
          <c:xVal>
            <c:numRef>
              <c:f>LPF!$C$15:$C$115</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xVal>
          <c:yVal>
            <c:numRef>
              <c:f>LPF!$E$14:$E$114</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yVal>
          <c:smooth val="0"/>
        </c:ser>
        <c:axId val="45162276"/>
        <c:axId val="3807301"/>
      </c:scatterChart>
      <c:valAx>
        <c:axId val="45162276"/>
        <c:scaling>
          <c:orientation val="minMax"/>
        </c:scaling>
        <c:axPos val="b"/>
        <c:title>
          <c:tx>
            <c:rich>
              <a:bodyPr vert="horz" rot="0" anchor="ctr"/>
              <a:lstStyle/>
              <a:p>
                <a:pPr algn="ctr">
                  <a:defRPr/>
                </a:pPr>
                <a:r>
                  <a:rPr lang="en-US" cap="none" sz="800" b="0" i="0" u="none" baseline="0">
                    <a:latin typeface="Arial"/>
                    <a:ea typeface="Arial"/>
                    <a:cs typeface="Arial"/>
                  </a:rPr>
                  <a:t>Frequency</a:t>
                </a:r>
              </a:p>
            </c:rich>
          </c:tx>
          <c:layout>
            <c:manualLayout>
              <c:xMode val="factor"/>
              <c:yMode val="factor"/>
              <c:x val="-0.01775"/>
              <c:y val="-0.0027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807301"/>
        <c:crosses val="autoZero"/>
        <c:crossBetween val="midCat"/>
        <c:dispUnits/>
      </c:valAx>
      <c:valAx>
        <c:axId val="3807301"/>
        <c:scaling>
          <c:orientation val="minMax"/>
        </c:scaling>
        <c:axPos val="l"/>
        <c:title>
          <c:tx>
            <c:rich>
              <a:bodyPr vert="horz" rot="-5400000" anchor="ctr"/>
              <a:lstStyle/>
              <a:p>
                <a:pPr algn="ctr">
                  <a:defRPr/>
                </a:pPr>
                <a:r>
                  <a:rPr lang="en-US" cap="none" sz="800" b="0" i="0" u="none" baseline="0">
                    <a:latin typeface="Arial"/>
                    <a:ea typeface="Arial"/>
                    <a:cs typeface="Arial"/>
                  </a:rPr>
                  <a:t>Gain (dB)</a:t>
                </a:r>
              </a:p>
            </c:rich>
          </c:tx>
          <c:layout>
            <c:manualLayout>
              <c:xMode val="factor"/>
              <c:yMode val="factor"/>
              <c:x val="-0.0135"/>
              <c:y val="-0.0022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5162276"/>
        <c:crosses val="autoZero"/>
        <c:crossBetween val="midCat"/>
        <c:dispUnits/>
      </c:valAx>
      <c:spPr>
        <a:gradFill rotWithShape="1">
          <a:gsLst>
            <a:gs pos="0">
              <a:srgbClr val="99CCFF"/>
            </a:gs>
            <a:gs pos="100000">
              <a:srgbClr val="FFFFFF"/>
            </a:gs>
          </a:gsLst>
          <a:path path="rect">
            <a:fillToRect l="50000" t="50000" r="50000" b="50000"/>
          </a:path>
        </a:gradFill>
        <a:ln w="12700">
          <a:solidFill>
            <a:srgbClr val="808080"/>
          </a:solidFill>
        </a:ln>
      </c:spPr>
    </c:plotArea>
    <c:legend>
      <c:legendPos val="r"/>
      <c:layout>
        <c:manualLayout>
          <c:xMode val="edge"/>
          <c:yMode val="edge"/>
          <c:x val="0.72825"/>
          <c:y val="0.10475"/>
          <c:w val="0.21925"/>
          <c:h val="0.108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1"/>
          <c:order val="0"/>
          <c:tx>
            <c:strRef>
              <c:f>'[1]Smith Chart'!$B$4:$D$4</c:f>
              <c:strCache>
                <c:ptCount val="1"/>
                <c:pt idx="0">
                  <c:v>Enter name</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'[1]Smith Chart'!$C$7:$C$22</c:f>
              <c:numCache>
                <c:ptCount val="16"/>
                <c:pt idx="0">
                  <c:v>0</c:v>
                </c:pt>
                <c:pt idx="1">
                  <c:v>-0.333333333333333</c:v>
                </c:pt>
                <c:pt idx="2">
                  <c:v>-0.2</c:v>
                </c:pt>
                <c:pt idx="3">
                  <c:v>0.2</c:v>
                </c:pt>
                <c:pt idx="4">
                  <c:v>0.333333333333333</c:v>
                </c:pt>
                <c:pt idx="5">
                  <c:v>0.2</c:v>
                </c:pt>
                <c:pt idx="6">
                  <c:v>-0.2</c:v>
                </c:pt>
                <c:pt idx="7">
                  <c:v>-0.666666666666667</c:v>
                </c:pt>
                <c:pt idx="8">
                  <c:v>-0.420118343195266</c:v>
                </c:pt>
                <c:pt idx="9">
                  <c:v>0</c:v>
                </c:pt>
                <c:pt idx="10">
                  <c:v>0.823529411764706</c:v>
                </c:pt>
                <c:pt idx="11">
                  <c:v>0.818181818181818</c:v>
                </c:pt>
                <c:pt idx="12">
                  <c:v>0.823529411764706</c:v>
                </c:pt>
                <c:pt idx="13">
                  <c:v>0</c:v>
                </c:pt>
                <c:pt idx="14">
                  <c:v>-0.420118343195266</c:v>
                </c:pt>
                <c:pt idx="15">
                  <c:v>-0.999999996</c:v>
                </c:pt>
              </c:numCache>
            </c:numRef>
          </c:xVal>
          <c:yVal>
            <c:numRef>
              <c:f>'[1]Smith Chart'!$D$7:$D$22</c:f>
              <c:numCache>
                <c:ptCount val="16"/>
                <c:pt idx="0">
                  <c:v>0</c:v>
                </c:pt>
                <c:pt idx="1">
                  <c:v>0</c:v>
                </c:pt>
                <c:pt idx="2">
                  <c:v>0.4</c:v>
                </c:pt>
                <c:pt idx="3">
                  <c:v>0.4</c:v>
                </c:pt>
                <c:pt idx="4">
                  <c:v>0</c:v>
                </c:pt>
                <c:pt idx="5">
                  <c:v>-0.4</c:v>
                </c:pt>
                <c:pt idx="6">
                  <c:v>-0.4</c:v>
                </c:pt>
                <c:pt idx="7">
                  <c:v>0</c:v>
                </c:pt>
                <c:pt idx="8">
                  <c:v>0.591715976331361</c:v>
                </c:pt>
                <c:pt idx="9">
                  <c:v>0.999999998</c:v>
                </c:pt>
                <c:pt idx="10">
                  <c:v>0.294117647058824</c:v>
                </c:pt>
                <c:pt idx="11">
                  <c:v>0</c:v>
                </c:pt>
                <c:pt idx="12">
                  <c:v>-0.294117647058824</c:v>
                </c:pt>
                <c:pt idx="13">
                  <c:v>-0.999999998</c:v>
                </c:pt>
                <c:pt idx="14">
                  <c:v>-0.591715976331361</c:v>
                </c:pt>
                <c:pt idx="15">
                  <c:v>0</c:v>
                </c:pt>
              </c:numCache>
            </c:numRef>
          </c:yVal>
          <c:smooth val="0"/>
        </c:ser>
        <c:ser>
          <c:idx val="2"/>
          <c:order val="1"/>
          <c:tx>
            <c:v>1+j0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FF00"/>
              </a:solidFill>
              <a:ln>
                <a:solidFill>
                  <a:srgbClr val="00FF00"/>
                </a:solidFill>
              </a:ln>
            </c:spPr>
          </c:marker>
          <c:xVal>
            <c:numRef>
              <c:f>'[1]Smith Chart'!$I$5</c:f>
              <c:numCache>
                <c:ptCount val="1"/>
                <c:pt idx="0">
                  <c:v>1</c:v>
                </c:pt>
              </c:numCache>
            </c:numRef>
          </c:xVal>
          <c:yVal>
            <c:numRef>
              <c:f>'[1]Smith Chart'!$H$5</c:f>
              <c:numCache>
                <c:ptCount val="1"/>
                <c:pt idx="0">
                  <c:v>0</c:v>
                </c:pt>
              </c:numCache>
            </c:numRef>
          </c:yVal>
          <c:smooth val="0"/>
        </c:ser>
        <c:ser>
          <c:idx val="3"/>
          <c:order val="2"/>
          <c:tx>
            <c:v>-1+j0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8000"/>
              </a:solidFill>
              <a:ln>
                <a:solidFill>
                  <a:srgbClr val="008000"/>
                </a:solidFill>
              </a:ln>
            </c:spPr>
          </c:marker>
          <c:xVal>
            <c:numRef>
              <c:f>'[1]Smith Chart'!$G$5</c:f>
              <c:numCache>
                <c:ptCount val="1"/>
                <c:pt idx="0">
                  <c:v>-1</c:v>
                </c:pt>
              </c:numCache>
            </c:numRef>
          </c:xVal>
          <c:yVal>
            <c:numRef>
              <c:f>'[1]Smith Chart'!$H$5</c:f>
              <c:numCache>
                <c:ptCount val="1"/>
                <c:pt idx="0">
                  <c:v>0</c:v>
                </c:pt>
              </c:numCache>
            </c:numRef>
          </c:yVal>
          <c:smooth val="0"/>
        </c:ser>
        <c:ser>
          <c:idx val="4"/>
          <c:order val="3"/>
          <c:tx>
            <c:v>0-j1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F0000"/>
              </a:solidFill>
              <a:ln>
                <a:solidFill>
                  <a:srgbClr val="FF0000"/>
                </a:solidFill>
              </a:ln>
            </c:spPr>
          </c:marker>
          <c:xVal>
            <c:numRef>
              <c:f>'[1]Smith Chart'!$H$5</c:f>
              <c:numCache>
                <c:ptCount val="1"/>
                <c:pt idx="0">
                  <c:v>0</c:v>
                </c:pt>
              </c:numCache>
            </c:numRef>
          </c:xVal>
          <c:yVal>
            <c:numRef>
              <c:f>'[1]Smith Chart'!$G$5</c:f>
              <c:numCache>
                <c:ptCount val="1"/>
                <c:pt idx="0">
                  <c:v>-1</c:v>
                </c:pt>
              </c:numCache>
            </c:numRef>
          </c:yVal>
          <c:smooth val="0"/>
        </c:ser>
        <c:ser>
          <c:idx val="5"/>
          <c:order val="4"/>
          <c:tx>
            <c:v>0+j1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3366"/>
              </a:solidFill>
              <a:ln>
                <a:solidFill>
                  <a:srgbClr val="993366"/>
                </a:solidFill>
              </a:ln>
            </c:spPr>
          </c:marker>
          <c:xVal>
            <c:numRef>
              <c:f>'[1]Smith Chart'!$H$5</c:f>
              <c:numCache>
                <c:ptCount val="1"/>
                <c:pt idx="0">
                  <c:v>0</c:v>
                </c:pt>
              </c:numCache>
            </c:numRef>
          </c:xVal>
          <c:yVal>
            <c:numRef>
              <c:f>'[1]Smith Chart'!$I$5</c:f>
              <c:numCache>
                <c:ptCount val="1"/>
                <c:pt idx="0">
                  <c:v>1</c:v>
                </c:pt>
              </c:numCache>
            </c:numRef>
          </c:yVal>
          <c:smooth val="0"/>
        </c:ser>
        <c:ser>
          <c:idx val="6"/>
          <c:order val="5"/>
          <c:tx>
            <c:v>0+j0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xVal>
            <c:numRef>
              <c:f>'[1]Smith Chart'!$H$5</c:f>
              <c:numCache>
                <c:ptCount val="1"/>
                <c:pt idx="0">
                  <c:v>0</c:v>
                </c:pt>
              </c:numCache>
            </c:numRef>
          </c:xVal>
          <c:yVal>
            <c:numRef>
              <c:f>'[1]Smith Chart'!$H$5</c:f>
              <c:numCache>
                <c:ptCount val="1"/>
                <c:pt idx="0">
                  <c:v>0</c:v>
                </c:pt>
              </c:numCache>
            </c:numRef>
          </c:yVal>
          <c:smooth val="0"/>
        </c:ser>
        <c:axId val="34265710"/>
        <c:axId val="39955935"/>
      </c:scatterChart>
      <c:valAx>
        <c:axId val="34265710"/>
        <c:scaling>
          <c:orientation val="minMax"/>
          <c:max val="1.02"/>
          <c:min val="-1.02"/>
        </c:scaling>
        <c:axPos val="b"/>
        <c:delete val="1"/>
        <c:majorTickMark val="out"/>
        <c:minorTickMark val="none"/>
        <c:tickLblPos val="none"/>
        <c:crossAx val="39955935"/>
        <c:crosses val="autoZero"/>
        <c:crossBetween val="midCat"/>
        <c:dispUnits/>
        <c:majorUnit val="4"/>
        <c:minorUnit val="4"/>
      </c:valAx>
      <c:valAx>
        <c:axId val="39955935"/>
        <c:scaling>
          <c:orientation val="minMax"/>
          <c:max val="1.02"/>
          <c:min val="-1.02"/>
        </c:scaling>
        <c:axPos val="l"/>
        <c:delete val="1"/>
        <c:majorTickMark val="none"/>
        <c:minorTickMark val="none"/>
        <c:tickLblPos val="none"/>
        <c:crossAx val="34265710"/>
        <c:crosses val="autoZero"/>
        <c:crossBetween val="midCat"/>
        <c:dispUnits/>
        <c:majorUnit val="4"/>
        <c:minorUnit val="4"/>
      </c:valAx>
      <c:spPr>
        <a:blipFill>
          <a:blip r:embed="rId1"/>
          <a:srcRect/>
          <a:stretch>
            <a:fillRect/>
          </a:stretch>
        </a:blipFill>
        <a:ln w="3175">
          <a:noFill/>
        </a:ln>
      </c:spPr>
    </c:plotArea>
    <c:legend>
      <c:legendPos val="r"/>
      <c:layout>
        <c:manualLayout>
          <c:xMode val="edge"/>
          <c:yMode val="edge"/>
          <c:x val="0"/>
          <c:y val="0"/>
          <c:w val="0.22875"/>
          <c:h val="0.171"/>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http://www.rfcafe.com/" TargetMode="External" /><Relationship Id="rId3" Type="http://schemas.openxmlformats.org/officeDocument/2006/relationships/hyperlink" Target="http://www.rfcafe.com/" TargetMode="External" /><Relationship Id="rId4" Type="http://schemas.openxmlformats.org/officeDocument/2006/relationships/image" Target="../media/image6.png" /><Relationship Id="rId5" Type="http://schemas.openxmlformats.org/officeDocument/2006/relationships/hyperlink" Target="http://www.rfcafe.com/" TargetMode="External" /><Relationship Id="rId6" Type="http://schemas.openxmlformats.org/officeDocument/2006/relationships/hyperlink" Target="http://www.rfcafe.com/" TargetMode="External" /><Relationship Id="rId7" Type="http://schemas.openxmlformats.org/officeDocument/2006/relationships/image" Target="../media/image1.png" /><Relationship Id="rId8" Type="http://schemas.openxmlformats.org/officeDocument/2006/relationships/hyperlink" Target="http://www.rfcafe.com/default.htm" TargetMode="External" /><Relationship Id="rId9" Type="http://schemas.openxmlformats.org/officeDocument/2006/relationships/hyperlink" Target="http://www.rfcafe.com/default.htm"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4.w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76200</xdr:colOff>
      <xdr:row>2</xdr:row>
      <xdr:rowOff>19050</xdr:rowOff>
    </xdr:from>
    <xdr:to>
      <xdr:col>10</xdr:col>
      <xdr:colOff>1504950</xdr:colOff>
      <xdr:row>5</xdr:row>
      <xdr:rowOff>38100</xdr:rowOff>
    </xdr:to>
    <xdr:pic>
      <xdr:nvPicPr>
        <xdr:cNvPr id="1" name="Picture 1" descr="Please click here to visit RF Cafe">
          <a:hlinkClick r:id="rId3"/>
        </xdr:cNvPr>
        <xdr:cNvPicPr preferRelativeResize="1">
          <a:picLocks noChangeAspect="1"/>
        </xdr:cNvPicPr>
      </xdr:nvPicPr>
      <xdr:blipFill>
        <a:blip r:embed="rId1"/>
        <a:stretch>
          <a:fillRect/>
        </a:stretch>
      </xdr:blipFill>
      <xdr:spPr>
        <a:xfrm>
          <a:off x="4238625" y="133350"/>
          <a:ext cx="1428750" cy="476250"/>
        </a:xfrm>
        <a:prstGeom prst="rect">
          <a:avLst/>
        </a:prstGeom>
        <a:noFill/>
        <a:ln w="9525" cmpd="sng">
          <a:noFill/>
        </a:ln>
      </xdr:spPr>
    </xdr:pic>
    <xdr:clientData/>
  </xdr:twoCellAnchor>
  <xdr:twoCellAnchor editAs="oneCell">
    <xdr:from>
      <xdr:col>6</xdr:col>
      <xdr:colOff>247650</xdr:colOff>
      <xdr:row>2</xdr:row>
      <xdr:rowOff>19050</xdr:rowOff>
    </xdr:from>
    <xdr:to>
      <xdr:col>8</xdr:col>
      <xdr:colOff>457200</xdr:colOff>
      <xdr:row>5</xdr:row>
      <xdr:rowOff>38100</xdr:rowOff>
    </xdr:to>
    <xdr:pic>
      <xdr:nvPicPr>
        <xdr:cNvPr id="2" name="Picture 2" descr="Please click here to visit RF Cafe">
          <a:hlinkClick r:id="rId6"/>
        </xdr:cNvPr>
        <xdr:cNvPicPr preferRelativeResize="1">
          <a:picLocks noChangeAspect="1"/>
        </xdr:cNvPicPr>
      </xdr:nvPicPr>
      <xdr:blipFill>
        <a:blip r:embed="rId4"/>
        <a:stretch>
          <a:fillRect/>
        </a:stretch>
      </xdr:blipFill>
      <xdr:spPr>
        <a:xfrm>
          <a:off x="2266950" y="133350"/>
          <a:ext cx="1428750" cy="476250"/>
        </a:xfrm>
        <a:prstGeom prst="rect">
          <a:avLst/>
        </a:prstGeom>
        <a:noFill/>
        <a:ln w="9525" cmpd="sng">
          <a:noFill/>
        </a:ln>
      </xdr:spPr>
    </xdr:pic>
    <xdr:clientData/>
  </xdr:twoCellAnchor>
  <xdr:twoCellAnchor>
    <xdr:from>
      <xdr:col>3</xdr:col>
      <xdr:colOff>9525</xdr:colOff>
      <xdr:row>9</xdr:row>
      <xdr:rowOff>47625</xdr:rowOff>
    </xdr:from>
    <xdr:to>
      <xdr:col>9</xdr:col>
      <xdr:colOff>9525</xdr:colOff>
      <xdr:row>14</xdr:row>
      <xdr:rowOff>57150</xdr:rowOff>
    </xdr:to>
    <xdr:sp>
      <xdr:nvSpPr>
        <xdr:cNvPr id="3" name="TextBox 3"/>
        <xdr:cNvSpPr txBox="1">
          <a:spLocks noChangeArrowheads="1"/>
        </xdr:cNvSpPr>
      </xdr:nvSpPr>
      <xdr:spPr>
        <a:xfrm>
          <a:off x="200025" y="1266825"/>
          <a:ext cx="3657600" cy="7715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This locked version of the RF Cafe Calculator Workbook is provided free of charge. You are encouraged to distribute it freely, as long as no changes are made and you require no payment for it. An unlocked version is available for purchase.
                                     --</a:t>
          </a:r>
          <a:r>
            <a:rPr lang="en-US" cap="none" sz="800" b="0" i="0" u="none" baseline="0">
              <a:latin typeface="Arial"/>
              <a:ea typeface="Arial"/>
              <a:cs typeface="Arial"/>
            </a:rPr>
            <a:t> Check Back Often for Updates --</a:t>
          </a:r>
        </a:p>
      </xdr:txBody>
    </xdr:sp>
    <xdr:clientData/>
  </xdr:twoCellAnchor>
  <xdr:twoCellAnchor>
    <xdr:from>
      <xdr:col>3</xdr:col>
      <xdr:colOff>9525</xdr:colOff>
      <xdr:row>16</xdr:row>
      <xdr:rowOff>95250</xdr:rowOff>
    </xdr:from>
    <xdr:to>
      <xdr:col>9</xdr:col>
      <xdr:colOff>0</xdr:colOff>
      <xdr:row>19</xdr:row>
      <xdr:rowOff>9525</xdr:rowOff>
    </xdr:to>
    <xdr:sp>
      <xdr:nvSpPr>
        <xdr:cNvPr id="4" name="TextBox 4"/>
        <xdr:cNvSpPr txBox="1">
          <a:spLocks noChangeArrowheads="1"/>
        </xdr:cNvSpPr>
      </xdr:nvSpPr>
      <xdr:spPr>
        <a:xfrm>
          <a:off x="200025" y="2381250"/>
          <a:ext cx="3648075" cy="371475"/>
        </a:xfrm>
        <a:prstGeom prst="rect">
          <a:avLst/>
        </a:prstGeom>
        <a:solidFill>
          <a:srgbClr val="FFFFFF"/>
        </a:solidFill>
        <a:ln w="9525" cmpd="sng">
          <a:noFill/>
        </a:ln>
      </xdr:spPr>
      <xdr:txBody>
        <a:bodyPr vertOverflow="clip" wrap="square"/>
        <a:p>
          <a:pPr algn="l">
            <a:defRPr/>
          </a:pPr>
          <a:r>
            <a:rPr lang="en-US" cap="none" sz="700" b="0" i="0" u="none" baseline="0">
              <a:solidFill>
                <a:srgbClr val="FF6600"/>
              </a:solidFill>
              <a:latin typeface="Arial"/>
              <a:ea typeface="Arial"/>
              <a:cs typeface="Arial"/>
            </a:rPr>
            <a:t>Disclaimer: Your use of this RF Cafe Calculator Workbook indicates that you accept full responsibility for the results produced, and that you agree to hold harmless Kirt Blattenberger, RF Cafe, and it assigns, for any damages that may result from its use.</a:t>
          </a:r>
        </a:p>
      </xdr:txBody>
    </xdr:sp>
    <xdr:clientData/>
  </xdr:twoCellAnchor>
  <xdr:twoCellAnchor>
    <xdr:from>
      <xdr:col>3</xdr:col>
      <xdr:colOff>9525</xdr:colOff>
      <xdr:row>19</xdr:row>
      <xdr:rowOff>114300</xdr:rowOff>
    </xdr:from>
    <xdr:to>
      <xdr:col>9</xdr:col>
      <xdr:colOff>0</xdr:colOff>
      <xdr:row>21</xdr:row>
      <xdr:rowOff>66675</xdr:rowOff>
    </xdr:to>
    <xdr:sp>
      <xdr:nvSpPr>
        <xdr:cNvPr id="5" name="TextBox 5"/>
        <xdr:cNvSpPr txBox="1">
          <a:spLocks noChangeArrowheads="1"/>
        </xdr:cNvSpPr>
      </xdr:nvSpPr>
      <xdr:spPr>
        <a:xfrm>
          <a:off x="200025" y="2857500"/>
          <a:ext cx="3648075" cy="257175"/>
        </a:xfrm>
        <a:prstGeom prst="rect">
          <a:avLst/>
        </a:prstGeom>
        <a:solidFill>
          <a:srgbClr val="FFFFFF"/>
        </a:solidFill>
        <a:ln w="9525" cmpd="sng">
          <a:noFill/>
        </a:ln>
      </xdr:spPr>
      <xdr:txBody>
        <a:bodyPr vertOverflow="clip" wrap="square"/>
        <a:p>
          <a:pPr algn="l">
            <a:defRPr/>
          </a:pPr>
          <a:r>
            <a:rPr lang="en-US" cap="none" sz="700" b="0" i="0" u="none" baseline="0">
              <a:solidFill>
                <a:srgbClr val="339966"/>
              </a:solidFill>
              <a:latin typeface="Arial"/>
              <a:ea typeface="Arial"/>
              <a:cs typeface="Arial"/>
            </a:rPr>
            <a:t>Note: This file is supplied in a format compatible with versions back to Excel 97. Saving the file in Excel 2003 format will greatly reduce the file size. </a:t>
          </a:r>
        </a:p>
      </xdr:txBody>
    </xdr:sp>
    <xdr:clientData/>
  </xdr:twoCellAnchor>
  <xdr:twoCellAnchor editAs="oneCell">
    <xdr:from>
      <xdr:col>3</xdr:col>
      <xdr:colOff>152400</xdr:colOff>
      <xdr:row>2</xdr:row>
      <xdr:rowOff>19050</xdr:rowOff>
    </xdr:from>
    <xdr:to>
      <xdr:col>5</xdr:col>
      <xdr:colOff>361950</xdr:colOff>
      <xdr:row>5</xdr:row>
      <xdr:rowOff>38100</xdr:rowOff>
    </xdr:to>
    <xdr:pic>
      <xdr:nvPicPr>
        <xdr:cNvPr id="6" name="Picture 6" descr="Click here to return to the RF Cafe homepage">
          <a:hlinkClick r:id="rId9"/>
        </xdr:cNvPr>
        <xdr:cNvPicPr preferRelativeResize="1">
          <a:picLocks noChangeAspect="1"/>
        </xdr:cNvPicPr>
      </xdr:nvPicPr>
      <xdr:blipFill>
        <a:blip r:embed="rId7"/>
        <a:stretch>
          <a:fillRect/>
        </a:stretch>
      </xdr:blipFill>
      <xdr:spPr>
        <a:xfrm>
          <a:off x="342900" y="133350"/>
          <a:ext cx="1428750" cy="476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133350</xdr:colOff>
      <xdr:row>4</xdr:row>
      <xdr:rowOff>57150</xdr:rowOff>
    </xdr:from>
    <xdr:to>
      <xdr:col>10</xdr:col>
      <xdr:colOff>361950</xdr:colOff>
      <xdr:row>11</xdr:row>
      <xdr:rowOff>0</xdr:rowOff>
    </xdr:to>
    <xdr:grpSp>
      <xdr:nvGrpSpPr>
        <xdr:cNvPr id="1" name="Group 65"/>
        <xdr:cNvGrpSpPr>
          <a:grpSpLocks/>
        </xdr:cNvGrpSpPr>
      </xdr:nvGrpSpPr>
      <xdr:grpSpPr>
        <a:xfrm>
          <a:off x="3048000" y="495300"/>
          <a:ext cx="1219200" cy="1019175"/>
          <a:chOff x="315" y="76"/>
          <a:chExt cx="128" cy="108"/>
        </a:xfrm>
        <a:solidFill>
          <a:srgbClr val="FFFFFF"/>
        </a:solidFill>
      </xdr:grpSpPr>
      <xdr:sp>
        <xdr:nvSpPr>
          <xdr:cNvPr id="2" name="Oval 6"/>
          <xdr:cNvSpPr>
            <a:spLocks/>
          </xdr:cNvSpPr>
        </xdr:nvSpPr>
        <xdr:spPr>
          <a:xfrm>
            <a:off x="315" y="114"/>
            <a:ext cx="70" cy="7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7"/>
          <xdr:cNvSpPr>
            <a:spLocks/>
          </xdr:cNvSpPr>
        </xdr:nvSpPr>
        <xdr:spPr>
          <a:xfrm>
            <a:off x="315" y="150"/>
            <a:ext cx="6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8"/>
          <xdr:cNvSpPr>
            <a:spLocks/>
          </xdr:cNvSpPr>
        </xdr:nvSpPr>
        <xdr:spPr>
          <a:xfrm rot="16200000">
            <a:off x="350" y="114"/>
            <a:ext cx="0" cy="6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5" name="Group 12"/>
          <xdr:cNvGrpSpPr>
            <a:grpSpLocks/>
          </xdr:cNvGrpSpPr>
        </xdr:nvGrpSpPr>
        <xdr:grpSpPr>
          <a:xfrm rot="18900000">
            <a:off x="316" y="115"/>
            <a:ext cx="68" cy="69"/>
            <a:chOff x="324" y="165"/>
            <a:chExt cx="68" cy="68"/>
          </a:xfrm>
          <a:solidFill>
            <a:srgbClr val="FFFFFF"/>
          </a:solidFill>
        </xdr:grpSpPr>
        <xdr:sp>
          <xdr:nvSpPr>
            <xdr:cNvPr id="6" name="Line 10"/>
            <xdr:cNvSpPr>
              <a:spLocks/>
            </xdr:cNvSpPr>
          </xdr:nvSpPr>
          <xdr:spPr>
            <a:xfrm>
              <a:off x="324" y="199"/>
              <a:ext cx="6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1"/>
            <xdr:cNvSpPr>
              <a:spLocks/>
            </xdr:cNvSpPr>
          </xdr:nvSpPr>
          <xdr:spPr>
            <a:xfrm rot="16200000">
              <a:off x="358" y="165"/>
              <a:ext cx="0" cy="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8" name="Group 13"/>
          <xdr:cNvGrpSpPr>
            <a:grpSpLocks/>
          </xdr:cNvGrpSpPr>
        </xdr:nvGrpSpPr>
        <xdr:grpSpPr>
          <a:xfrm rot="18000000">
            <a:off x="316" y="115"/>
            <a:ext cx="68" cy="69"/>
            <a:chOff x="324" y="165"/>
            <a:chExt cx="68" cy="68"/>
          </a:xfrm>
          <a:solidFill>
            <a:srgbClr val="FFFFFF"/>
          </a:solidFill>
        </xdr:grpSpPr>
        <xdr:sp>
          <xdr:nvSpPr>
            <xdr:cNvPr id="9" name="Line 14"/>
            <xdr:cNvSpPr>
              <a:spLocks/>
            </xdr:cNvSpPr>
          </xdr:nvSpPr>
          <xdr:spPr>
            <a:xfrm>
              <a:off x="324" y="199"/>
              <a:ext cx="6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5"/>
            <xdr:cNvSpPr>
              <a:spLocks/>
            </xdr:cNvSpPr>
          </xdr:nvSpPr>
          <xdr:spPr>
            <a:xfrm rot="16200000">
              <a:off x="358" y="165"/>
              <a:ext cx="0" cy="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1" name="Group 16"/>
          <xdr:cNvGrpSpPr>
            <a:grpSpLocks/>
          </xdr:cNvGrpSpPr>
        </xdr:nvGrpSpPr>
        <xdr:grpSpPr>
          <a:xfrm rot="1800000">
            <a:off x="316" y="115"/>
            <a:ext cx="68" cy="69"/>
            <a:chOff x="324" y="165"/>
            <a:chExt cx="68" cy="68"/>
          </a:xfrm>
          <a:solidFill>
            <a:srgbClr val="FFFFFF"/>
          </a:solidFill>
        </xdr:grpSpPr>
        <xdr:sp>
          <xdr:nvSpPr>
            <xdr:cNvPr id="12" name="Line 17"/>
            <xdr:cNvSpPr>
              <a:spLocks/>
            </xdr:cNvSpPr>
          </xdr:nvSpPr>
          <xdr:spPr>
            <a:xfrm>
              <a:off x="324" y="199"/>
              <a:ext cx="6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8"/>
            <xdr:cNvSpPr>
              <a:spLocks/>
            </xdr:cNvSpPr>
          </xdr:nvSpPr>
          <xdr:spPr>
            <a:xfrm rot="16200000">
              <a:off x="358" y="165"/>
              <a:ext cx="0" cy="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4" name="Group 19"/>
          <xdr:cNvGrpSpPr>
            <a:grpSpLocks/>
          </xdr:cNvGrpSpPr>
        </xdr:nvGrpSpPr>
        <xdr:grpSpPr>
          <a:xfrm rot="900000">
            <a:off x="316" y="115"/>
            <a:ext cx="68" cy="69"/>
            <a:chOff x="324" y="165"/>
            <a:chExt cx="68" cy="68"/>
          </a:xfrm>
          <a:solidFill>
            <a:srgbClr val="FFFFFF"/>
          </a:solidFill>
        </xdr:grpSpPr>
        <xdr:sp>
          <xdr:nvSpPr>
            <xdr:cNvPr id="15" name="Line 20"/>
            <xdr:cNvSpPr>
              <a:spLocks/>
            </xdr:cNvSpPr>
          </xdr:nvSpPr>
          <xdr:spPr>
            <a:xfrm>
              <a:off x="324" y="199"/>
              <a:ext cx="6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21"/>
            <xdr:cNvSpPr>
              <a:spLocks/>
            </xdr:cNvSpPr>
          </xdr:nvSpPr>
          <xdr:spPr>
            <a:xfrm rot="16200000">
              <a:off x="358" y="165"/>
              <a:ext cx="0" cy="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7" name="Group 22"/>
          <xdr:cNvGrpSpPr>
            <a:grpSpLocks/>
          </xdr:cNvGrpSpPr>
        </xdr:nvGrpSpPr>
        <xdr:grpSpPr>
          <a:xfrm rot="3600000">
            <a:off x="316" y="115"/>
            <a:ext cx="68" cy="69"/>
            <a:chOff x="324" y="165"/>
            <a:chExt cx="68" cy="68"/>
          </a:xfrm>
          <a:solidFill>
            <a:srgbClr val="FFFFFF"/>
          </a:solidFill>
        </xdr:grpSpPr>
        <xdr:sp>
          <xdr:nvSpPr>
            <xdr:cNvPr id="18" name="Line 23"/>
            <xdr:cNvSpPr>
              <a:spLocks/>
            </xdr:cNvSpPr>
          </xdr:nvSpPr>
          <xdr:spPr>
            <a:xfrm>
              <a:off x="324" y="199"/>
              <a:ext cx="6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24"/>
            <xdr:cNvSpPr>
              <a:spLocks/>
            </xdr:cNvSpPr>
          </xdr:nvSpPr>
          <xdr:spPr>
            <a:xfrm rot="16200000">
              <a:off x="358" y="165"/>
              <a:ext cx="0" cy="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0" name="Group 25"/>
          <xdr:cNvGrpSpPr>
            <a:grpSpLocks/>
          </xdr:cNvGrpSpPr>
        </xdr:nvGrpSpPr>
        <xdr:grpSpPr>
          <a:xfrm rot="4500000">
            <a:off x="316" y="115"/>
            <a:ext cx="68" cy="69"/>
            <a:chOff x="324" y="165"/>
            <a:chExt cx="68" cy="68"/>
          </a:xfrm>
          <a:solidFill>
            <a:srgbClr val="FFFFFF"/>
          </a:solidFill>
        </xdr:grpSpPr>
        <xdr:sp>
          <xdr:nvSpPr>
            <xdr:cNvPr id="21" name="Line 26"/>
            <xdr:cNvSpPr>
              <a:spLocks/>
            </xdr:cNvSpPr>
          </xdr:nvSpPr>
          <xdr:spPr>
            <a:xfrm>
              <a:off x="324" y="199"/>
              <a:ext cx="6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7"/>
            <xdr:cNvSpPr>
              <a:spLocks/>
            </xdr:cNvSpPr>
          </xdr:nvSpPr>
          <xdr:spPr>
            <a:xfrm rot="16200000">
              <a:off x="358" y="165"/>
              <a:ext cx="0" cy="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3" name="Oval 9"/>
          <xdr:cNvSpPr>
            <a:spLocks/>
          </xdr:cNvSpPr>
        </xdr:nvSpPr>
        <xdr:spPr>
          <a:xfrm>
            <a:off x="320" y="119"/>
            <a:ext cx="59" cy="60"/>
          </a:xfrm>
          <a:prstGeom prst="ellips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4" name="Line 29"/>
          <xdr:cNvSpPr>
            <a:spLocks/>
          </xdr:cNvSpPr>
        </xdr:nvSpPr>
        <xdr:spPr>
          <a:xfrm rot="5400000" flipV="1">
            <a:off x="333" y="131"/>
            <a:ext cx="3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25" name="TextBox 54"/>
          <xdr:cNvSpPr txBox="1">
            <a:spLocks noChangeArrowheads="1"/>
          </xdr:cNvSpPr>
        </xdr:nvSpPr>
        <xdr:spPr>
          <a:xfrm>
            <a:off x="392" y="126"/>
            <a:ext cx="40" cy="17"/>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Radial</a:t>
            </a:r>
          </a:p>
        </xdr:txBody>
      </xdr:sp>
      <xdr:sp>
        <xdr:nvSpPr>
          <xdr:cNvPr id="26" name="Oval 28"/>
          <xdr:cNvSpPr>
            <a:spLocks/>
          </xdr:cNvSpPr>
        </xdr:nvSpPr>
        <xdr:spPr>
          <a:xfrm>
            <a:off x="346" y="146"/>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31"/>
          <xdr:cNvSpPr>
            <a:spLocks/>
          </xdr:cNvSpPr>
        </xdr:nvSpPr>
        <xdr:spPr>
          <a:xfrm flipV="1">
            <a:off x="350" y="95"/>
            <a:ext cx="93" cy="55"/>
          </a:xfrm>
          <a:prstGeom prst="line">
            <a:avLst/>
          </a:prstGeom>
          <a:noFill/>
          <a:ln w="9525"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8" name="Picture 33"/>
          <xdr:cNvPicPr preferRelativeResize="1">
            <a:picLocks noChangeAspect="1"/>
          </xdr:cNvPicPr>
        </xdr:nvPicPr>
        <xdr:blipFill>
          <a:blip r:embed="rId1"/>
          <a:stretch>
            <a:fillRect/>
          </a:stretch>
        </xdr:blipFill>
        <xdr:spPr>
          <a:xfrm rot="71588056" flipV="1">
            <a:off x="403" y="76"/>
            <a:ext cx="33" cy="51"/>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514350</xdr:colOff>
      <xdr:row>14</xdr:row>
      <xdr:rowOff>57150</xdr:rowOff>
    </xdr:from>
    <xdr:ext cx="1162050" cy="809625"/>
    <xdr:sp>
      <xdr:nvSpPr>
        <xdr:cNvPr id="1" name="AutoShape 20"/>
        <xdr:cNvSpPr>
          <a:spLocks/>
        </xdr:cNvSpPr>
      </xdr:nvSpPr>
      <xdr:spPr>
        <a:xfrm>
          <a:off x="2867025" y="2105025"/>
          <a:ext cx="1162050" cy="809625"/>
        </a:xfrm>
        <a:prstGeom prst="cube">
          <a:avLst>
            <a:gd name="adj" fmla="val -28824"/>
          </a:avLst>
        </a:prstGeom>
        <a:gradFill rotWithShape="1">
          <a:gsLst>
            <a:gs pos="0">
              <a:srgbClr val="F8F8F8"/>
            </a:gs>
            <a:gs pos="100000">
              <a:srgbClr val="727272"/>
            </a:gs>
          </a:gsLst>
          <a:path path="rect">
            <a:fillToRect r="100000" b="10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142875</xdr:colOff>
      <xdr:row>17</xdr:row>
      <xdr:rowOff>0</xdr:rowOff>
    </xdr:from>
    <xdr:ext cx="419100" cy="190500"/>
    <xdr:sp>
      <xdr:nvSpPr>
        <xdr:cNvPr id="2" name="TextBox 21"/>
        <xdr:cNvSpPr txBox="1">
          <a:spLocks noChangeArrowheads="1"/>
        </xdr:cNvSpPr>
      </xdr:nvSpPr>
      <xdr:spPr>
        <a:xfrm>
          <a:off x="2495550" y="2524125"/>
          <a:ext cx="419100" cy="190500"/>
        </a:xfrm>
        <a:prstGeom prst="rect">
          <a:avLst/>
        </a:prstGeom>
        <a:noFill/>
        <a:ln w="9525" cmpd="sng">
          <a:noFill/>
        </a:ln>
      </xdr:spPr>
      <xdr:txBody>
        <a:bodyPr vertOverflow="clip" wrap="square"/>
        <a:p>
          <a:pPr algn="ctr">
            <a:defRPr/>
          </a:pPr>
          <a:r>
            <a:rPr lang="en-US" cap="none" sz="900" b="0" i="0" u="none" baseline="0">
              <a:latin typeface="Arial"/>
              <a:ea typeface="Arial"/>
              <a:cs typeface="Arial"/>
            </a:rPr>
            <a:t>b, n</a:t>
          </a:r>
        </a:p>
      </xdr:txBody>
    </xdr:sp>
    <xdr:clientData/>
  </xdr:oneCellAnchor>
  <xdr:oneCellAnchor>
    <xdr:from>
      <xdr:col>9</xdr:col>
      <xdr:colOff>714375</xdr:colOff>
      <xdr:row>18</xdr:row>
      <xdr:rowOff>95250</xdr:rowOff>
    </xdr:from>
    <xdr:ext cx="304800" cy="190500"/>
    <xdr:sp>
      <xdr:nvSpPr>
        <xdr:cNvPr id="3" name="TextBox 22"/>
        <xdr:cNvSpPr txBox="1">
          <a:spLocks noChangeArrowheads="1"/>
        </xdr:cNvSpPr>
      </xdr:nvSpPr>
      <xdr:spPr>
        <a:xfrm>
          <a:off x="3962400" y="2771775"/>
          <a:ext cx="304800"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a, m</a:t>
          </a:r>
        </a:p>
      </xdr:txBody>
    </xdr:sp>
    <xdr:clientData/>
  </xdr:oneCellAnchor>
  <xdr:oneCellAnchor>
    <xdr:from>
      <xdr:col>8</xdr:col>
      <xdr:colOff>161925</xdr:colOff>
      <xdr:row>19</xdr:row>
      <xdr:rowOff>133350</xdr:rowOff>
    </xdr:from>
    <xdr:ext cx="285750" cy="180975"/>
    <xdr:sp>
      <xdr:nvSpPr>
        <xdr:cNvPr id="4" name="TextBox 23"/>
        <xdr:cNvSpPr txBox="1">
          <a:spLocks noChangeArrowheads="1"/>
        </xdr:cNvSpPr>
      </xdr:nvSpPr>
      <xdr:spPr>
        <a:xfrm>
          <a:off x="3028950" y="2962275"/>
          <a:ext cx="285750" cy="180975"/>
        </a:xfrm>
        <a:prstGeom prst="rect">
          <a:avLst/>
        </a:prstGeom>
        <a:noFill/>
        <a:ln w="9525" cmpd="sng">
          <a:noFill/>
        </a:ln>
      </xdr:spPr>
      <xdr:txBody>
        <a:bodyPr vertOverflow="clip" wrap="square"/>
        <a:p>
          <a:pPr algn="ctr">
            <a:defRPr/>
          </a:pPr>
          <a:r>
            <a:rPr lang="en-US" cap="none" sz="900" b="0" i="0" u="none" baseline="0">
              <a:latin typeface="Arial"/>
              <a:ea typeface="Arial"/>
              <a:cs typeface="Arial"/>
            </a:rPr>
            <a:t>c, p</a:t>
          </a:r>
        </a:p>
      </xdr:txBody>
    </xdr:sp>
    <xdr:clientData/>
  </xdr:oneCellAnchor>
  <xdr:oneCellAnchor>
    <xdr:from>
      <xdr:col>8</xdr:col>
      <xdr:colOff>342900</xdr:colOff>
      <xdr:row>16</xdr:row>
      <xdr:rowOff>95250</xdr:rowOff>
    </xdr:from>
    <xdr:ext cx="361950" cy="228600"/>
    <xdr:sp>
      <xdr:nvSpPr>
        <xdr:cNvPr id="5" name="TextBox 25"/>
        <xdr:cNvSpPr txBox="1">
          <a:spLocks noChangeArrowheads="1"/>
        </xdr:cNvSpPr>
      </xdr:nvSpPr>
      <xdr:spPr>
        <a:xfrm>
          <a:off x="3209925" y="2466975"/>
          <a:ext cx="361950" cy="228600"/>
        </a:xfrm>
        <a:prstGeom prst="rect">
          <a:avLst/>
        </a:prstGeom>
        <a:noFill/>
        <a:ln w="9525" cmpd="sng">
          <a:noFill/>
        </a:ln>
      </xdr:spPr>
      <xdr:txBody>
        <a:bodyPr vertOverflow="clip" wrap="square">
          <a:spAutoFit/>
        </a:bodyPr>
        <a:p>
          <a:pPr algn="ctr">
            <a:defRPr/>
          </a:pPr>
          <a:r>
            <a:rPr lang="en-US" cap="none" sz="1100" b="1" i="0" u="none" baseline="0">
              <a:solidFill>
                <a:srgbClr val="FFFFFF"/>
              </a:solidFill>
            </a:rPr>
            <a:t>e, m</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142875</xdr:colOff>
      <xdr:row>5</xdr:row>
      <xdr:rowOff>28575</xdr:rowOff>
    </xdr:from>
    <xdr:ext cx="4543425" cy="4543425"/>
    <xdr:graphicFrame>
      <xdr:nvGraphicFramePr>
        <xdr:cNvPr id="1" name="Chart 1"/>
        <xdr:cNvGraphicFramePr/>
      </xdr:nvGraphicFramePr>
      <xdr:xfrm>
        <a:off x="2428875" y="876300"/>
        <a:ext cx="4543425" cy="4543425"/>
      </xdr:xfrm>
      <a:graphic>
        <a:graphicData uri="http://schemas.openxmlformats.org/drawingml/2006/chart">
          <c:chart xmlns:c="http://schemas.openxmlformats.org/drawingml/2006/chart" r:id="rId1"/>
        </a:graphicData>
      </a:graphic>
    </xdr:graphicFrame>
    <xdr:clientData/>
  </xdr:oneCellAnchor>
  <xdr:oneCellAnchor>
    <xdr:from>
      <xdr:col>3</xdr:col>
      <xdr:colOff>676275</xdr:colOff>
      <xdr:row>36</xdr:row>
      <xdr:rowOff>38100</xdr:rowOff>
    </xdr:from>
    <xdr:ext cx="4914900" cy="3448050"/>
    <xdr:sp>
      <xdr:nvSpPr>
        <xdr:cNvPr id="2" name="TextBox 2"/>
        <xdr:cNvSpPr txBox="1">
          <a:spLocks noChangeArrowheads="1"/>
        </xdr:cNvSpPr>
      </xdr:nvSpPr>
      <xdr:spPr>
        <a:xfrm>
          <a:off x="2238375" y="5676900"/>
          <a:ext cx="4914900" cy="3448050"/>
        </a:xfrm>
        <a:prstGeom prst="rect">
          <a:avLst/>
        </a:prstGeom>
        <a:solidFill>
          <a:srgbClr val="FFFFFF"/>
        </a:solidFill>
        <a:ln w="9525" cmpd="sng">
          <a:solidFill>
            <a:srgbClr val="0000FF"/>
          </a:solidFill>
          <a:headEnd type="none"/>
          <a:tailEnd type="none"/>
        </a:ln>
      </xdr:spPr>
      <xdr:txBody>
        <a:bodyPr vertOverflow="clip" wrap="square" lIns="45720" tIns="18288" rIns="45720" bIns="18288"/>
        <a:p>
          <a:pPr algn="l">
            <a:defRPr/>
          </a:pPr>
          <a:r>
            <a:rPr lang="en-US" cap="none" sz="1000" b="0" i="0" u="none" baseline="0">
              <a:latin typeface="Arial"/>
              <a:ea typeface="Arial"/>
              <a:cs typeface="Arial"/>
            </a:rPr>
            <a:t>Analysis ToolPak Add-In required. Go to the Tools-&gt;Add-Ins… menu selection and check the Analysis ToolPak option.
Be sure to only enter data into the yellow shaded areas or risk overwriting formulas.
The points displayed are provided because they are easy to verify visually as a sanity check on the display.
When more impedance points are added, select the chart and then Chart-&gt;Source Data... menu options, then select the Series Data tab. Edit the "X Values:" and "Y Values:" values. Note that if a range is selected that is missing data, the entire chart line will disappear.
This text box will not print, so it can be left here, moved to a different location, or deleted.</a:t>
          </a:r>
        </a:p>
      </xdr:txBody>
    </xdr:sp>
    <xdr:clientData fPrint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352425</xdr:colOff>
      <xdr:row>8</xdr:row>
      <xdr:rowOff>76200</xdr:rowOff>
    </xdr:from>
    <xdr:to>
      <xdr:col>8</xdr:col>
      <xdr:colOff>371475</xdr:colOff>
      <xdr:row>8</xdr:row>
      <xdr:rowOff>76200</xdr:rowOff>
    </xdr:to>
    <xdr:sp>
      <xdr:nvSpPr>
        <xdr:cNvPr id="1" name="Line 1"/>
        <xdr:cNvSpPr>
          <a:spLocks/>
        </xdr:cNvSpPr>
      </xdr:nvSpPr>
      <xdr:spPr>
        <a:xfrm>
          <a:off x="2895600" y="1133475"/>
          <a:ext cx="628650"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18</xdr:row>
      <xdr:rowOff>76200</xdr:rowOff>
    </xdr:from>
    <xdr:to>
      <xdr:col>7</xdr:col>
      <xdr:colOff>0</xdr:colOff>
      <xdr:row>19</xdr:row>
      <xdr:rowOff>123825</xdr:rowOff>
    </xdr:to>
    <xdr:sp>
      <xdr:nvSpPr>
        <xdr:cNvPr id="2" name="Polygon 3"/>
        <xdr:cNvSpPr>
          <a:spLocks/>
        </xdr:cNvSpPr>
      </xdr:nvSpPr>
      <xdr:spPr>
        <a:xfrm>
          <a:off x="2238375" y="2667000"/>
          <a:ext cx="304800" cy="200025"/>
        </a:xfrm>
        <a:custGeom>
          <a:pathLst>
            <a:path h="21" w="32">
              <a:moveTo>
                <a:pt x="0" y="21"/>
              </a:moveTo>
              <a:lnTo>
                <a:pt x="0" y="0"/>
              </a:lnTo>
              <a:lnTo>
                <a:pt x="32"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18</xdr:row>
      <xdr:rowOff>76200</xdr:rowOff>
    </xdr:from>
    <xdr:to>
      <xdr:col>9</xdr:col>
      <xdr:colOff>266700</xdr:colOff>
      <xdr:row>18</xdr:row>
      <xdr:rowOff>76200</xdr:rowOff>
    </xdr:to>
    <xdr:sp>
      <xdr:nvSpPr>
        <xdr:cNvPr id="3" name="Line 6"/>
        <xdr:cNvSpPr>
          <a:spLocks/>
        </xdr:cNvSpPr>
      </xdr:nvSpPr>
      <xdr:spPr>
        <a:xfrm>
          <a:off x="3390900" y="2667000"/>
          <a:ext cx="638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6</xdr:row>
      <xdr:rowOff>66675</xdr:rowOff>
    </xdr:from>
    <xdr:to>
      <xdr:col>4</xdr:col>
      <xdr:colOff>333375</xdr:colOff>
      <xdr:row>15</xdr:row>
      <xdr:rowOff>38100</xdr:rowOff>
    </xdr:to>
    <xdr:sp>
      <xdr:nvSpPr>
        <xdr:cNvPr id="1" name="Line 1"/>
        <xdr:cNvSpPr>
          <a:spLocks/>
        </xdr:cNvSpPr>
      </xdr:nvSpPr>
      <xdr:spPr>
        <a:xfrm>
          <a:off x="1409700" y="819150"/>
          <a:ext cx="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15</xdr:row>
      <xdr:rowOff>47625</xdr:rowOff>
    </xdr:from>
    <xdr:to>
      <xdr:col>4</xdr:col>
      <xdr:colOff>371475</xdr:colOff>
      <xdr:row>15</xdr:row>
      <xdr:rowOff>123825</xdr:rowOff>
    </xdr:to>
    <xdr:sp>
      <xdr:nvSpPr>
        <xdr:cNvPr id="2" name="Oval 2"/>
        <xdr:cNvSpPr>
          <a:spLocks/>
        </xdr:cNvSpPr>
      </xdr:nvSpPr>
      <xdr:spPr>
        <a:xfrm>
          <a:off x="1371600" y="22955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6</xdr:row>
      <xdr:rowOff>28575</xdr:rowOff>
    </xdr:from>
    <xdr:to>
      <xdr:col>4</xdr:col>
      <xdr:colOff>371475</xdr:colOff>
      <xdr:row>6</xdr:row>
      <xdr:rowOff>104775</xdr:rowOff>
    </xdr:to>
    <xdr:sp>
      <xdr:nvSpPr>
        <xdr:cNvPr id="3" name="Oval 3"/>
        <xdr:cNvSpPr>
          <a:spLocks/>
        </xdr:cNvSpPr>
      </xdr:nvSpPr>
      <xdr:spPr>
        <a:xfrm>
          <a:off x="1371600" y="78105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47625</xdr:rowOff>
    </xdr:from>
    <xdr:to>
      <xdr:col>7</xdr:col>
      <xdr:colOff>76200</xdr:colOff>
      <xdr:row>10</xdr:row>
      <xdr:rowOff>123825</xdr:rowOff>
    </xdr:to>
    <xdr:sp>
      <xdr:nvSpPr>
        <xdr:cNvPr id="4" name="Oval 4"/>
        <xdr:cNvSpPr>
          <a:spLocks/>
        </xdr:cNvSpPr>
      </xdr:nvSpPr>
      <xdr:spPr>
        <a:xfrm>
          <a:off x="2447925" y="144780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10</xdr:row>
      <xdr:rowOff>85725</xdr:rowOff>
    </xdr:from>
    <xdr:to>
      <xdr:col>7</xdr:col>
      <xdr:colOff>0</xdr:colOff>
      <xdr:row>10</xdr:row>
      <xdr:rowOff>85725</xdr:rowOff>
    </xdr:to>
    <xdr:sp>
      <xdr:nvSpPr>
        <xdr:cNvPr id="5" name="Line 5"/>
        <xdr:cNvSpPr>
          <a:spLocks/>
        </xdr:cNvSpPr>
      </xdr:nvSpPr>
      <xdr:spPr>
        <a:xfrm flipH="1">
          <a:off x="1409700" y="1485900"/>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10</xdr:row>
      <xdr:rowOff>47625</xdr:rowOff>
    </xdr:from>
    <xdr:to>
      <xdr:col>4</xdr:col>
      <xdr:colOff>371475</xdr:colOff>
      <xdr:row>10</xdr:row>
      <xdr:rowOff>123825</xdr:rowOff>
    </xdr:to>
    <xdr:sp>
      <xdr:nvSpPr>
        <xdr:cNvPr id="6" name="Oval 6"/>
        <xdr:cNvSpPr>
          <a:spLocks/>
        </xdr:cNvSpPr>
      </xdr:nvSpPr>
      <xdr:spPr>
        <a:xfrm>
          <a:off x="1371600" y="1447800"/>
          <a:ext cx="76200" cy="76200"/>
        </a:xfrm>
        <a:prstGeom prst="ellipse">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7</xdr:row>
      <xdr:rowOff>47625</xdr:rowOff>
    </xdr:from>
    <xdr:to>
      <xdr:col>4</xdr:col>
      <xdr:colOff>390525</xdr:colOff>
      <xdr:row>9</xdr:row>
      <xdr:rowOff>104775</xdr:rowOff>
    </xdr:to>
    <xdr:grpSp>
      <xdr:nvGrpSpPr>
        <xdr:cNvPr id="7" name="Group 9"/>
        <xdr:cNvGrpSpPr>
          <a:grpSpLocks/>
        </xdr:cNvGrpSpPr>
      </xdr:nvGrpSpPr>
      <xdr:grpSpPr>
        <a:xfrm>
          <a:off x="1362075" y="962025"/>
          <a:ext cx="104775" cy="381000"/>
          <a:chOff x="721" y="16"/>
          <a:chExt cx="34" cy="135"/>
        </a:xfrm>
        <a:solidFill>
          <a:srgbClr val="FFFFFF"/>
        </a:solidFill>
      </xdr:grpSpPr>
      <xdr:sp>
        <xdr:nvSpPr>
          <xdr:cNvPr id="8" name="Rectangle 8"/>
          <xdr:cNvSpPr>
            <a:spLocks/>
          </xdr:cNvSpPr>
        </xdr:nvSpPr>
        <xdr:spPr>
          <a:xfrm>
            <a:off x="721" y="16"/>
            <a:ext cx="34" cy="13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9" name="Polygon 7"/>
          <xdr:cNvSpPr>
            <a:spLocks/>
          </xdr:cNvSpPr>
        </xdr:nvSpPr>
        <xdr:spPr>
          <a:xfrm>
            <a:off x="721" y="17"/>
            <a:ext cx="34" cy="134"/>
          </a:xfrm>
          <a:custGeom>
            <a:pathLst>
              <a:path h="134" w="34">
                <a:moveTo>
                  <a:pt x="17" y="0"/>
                </a:moveTo>
                <a:lnTo>
                  <a:pt x="34" y="15"/>
                </a:lnTo>
                <a:lnTo>
                  <a:pt x="0" y="49"/>
                </a:lnTo>
                <a:lnTo>
                  <a:pt x="34" y="83"/>
                </a:lnTo>
                <a:lnTo>
                  <a:pt x="0" y="117"/>
                </a:lnTo>
                <a:lnTo>
                  <a:pt x="17" y="13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285750</xdr:colOff>
      <xdr:row>11</xdr:row>
      <xdr:rowOff>66675</xdr:rowOff>
    </xdr:from>
    <xdr:to>
      <xdr:col>4</xdr:col>
      <xdr:colOff>390525</xdr:colOff>
      <xdr:row>13</xdr:row>
      <xdr:rowOff>133350</xdr:rowOff>
    </xdr:to>
    <xdr:grpSp>
      <xdr:nvGrpSpPr>
        <xdr:cNvPr id="10" name="Group 10"/>
        <xdr:cNvGrpSpPr>
          <a:grpSpLocks/>
        </xdr:cNvGrpSpPr>
      </xdr:nvGrpSpPr>
      <xdr:grpSpPr>
        <a:xfrm>
          <a:off x="1362075" y="1628775"/>
          <a:ext cx="104775" cy="390525"/>
          <a:chOff x="721" y="16"/>
          <a:chExt cx="34" cy="135"/>
        </a:xfrm>
        <a:solidFill>
          <a:srgbClr val="FFFFFF"/>
        </a:solidFill>
      </xdr:grpSpPr>
      <xdr:sp>
        <xdr:nvSpPr>
          <xdr:cNvPr id="11" name="Rectangle 11"/>
          <xdr:cNvSpPr>
            <a:spLocks/>
          </xdr:cNvSpPr>
        </xdr:nvSpPr>
        <xdr:spPr>
          <a:xfrm>
            <a:off x="721" y="16"/>
            <a:ext cx="34" cy="13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Polygon 12"/>
          <xdr:cNvSpPr>
            <a:spLocks/>
          </xdr:cNvSpPr>
        </xdr:nvSpPr>
        <xdr:spPr>
          <a:xfrm>
            <a:off x="721" y="17"/>
            <a:ext cx="34" cy="134"/>
          </a:xfrm>
          <a:custGeom>
            <a:pathLst>
              <a:path h="134" w="34">
                <a:moveTo>
                  <a:pt x="17" y="0"/>
                </a:moveTo>
                <a:lnTo>
                  <a:pt x="34" y="15"/>
                </a:lnTo>
                <a:lnTo>
                  <a:pt x="0" y="49"/>
                </a:lnTo>
                <a:lnTo>
                  <a:pt x="34" y="83"/>
                </a:lnTo>
                <a:lnTo>
                  <a:pt x="0" y="117"/>
                </a:lnTo>
                <a:lnTo>
                  <a:pt x="17" y="13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323850</xdr:colOff>
      <xdr:row>10</xdr:row>
      <xdr:rowOff>85725</xdr:rowOff>
    </xdr:from>
    <xdr:to>
      <xdr:col>5</xdr:col>
      <xdr:colOff>323850</xdr:colOff>
      <xdr:row>14</xdr:row>
      <xdr:rowOff>95250</xdr:rowOff>
    </xdr:to>
    <xdr:sp>
      <xdr:nvSpPr>
        <xdr:cNvPr id="13" name="Line 13"/>
        <xdr:cNvSpPr>
          <a:spLocks/>
        </xdr:cNvSpPr>
      </xdr:nvSpPr>
      <xdr:spPr>
        <a:xfrm>
          <a:off x="2009775" y="148590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11</xdr:row>
      <xdr:rowOff>76200</xdr:rowOff>
    </xdr:from>
    <xdr:to>
      <xdr:col>6</xdr:col>
      <xdr:colOff>0</xdr:colOff>
      <xdr:row>13</xdr:row>
      <xdr:rowOff>152400</xdr:rowOff>
    </xdr:to>
    <xdr:grpSp>
      <xdr:nvGrpSpPr>
        <xdr:cNvPr id="14" name="Group 15"/>
        <xdr:cNvGrpSpPr>
          <a:grpSpLocks/>
        </xdr:cNvGrpSpPr>
      </xdr:nvGrpSpPr>
      <xdr:grpSpPr>
        <a:xfrm>
          <a:off x="1962150" y="1638300"/>
          <a:ext cx="104775" cy="400050"/>
          <a:chOff x="721" y="16"/>
          <a:chExt cx="34" cy="135"/>
        </a:xfrm>
        <a:solidFill>
          <a:srgbClr val="FFFFFF"/>
        </a:solidFill>
      </xdr:grpSpPr>
      <xdr:sp>
        <xdr:nvSpPr>
          <xdr:cNvPr id="15" name="Rectangle 16"/>
          <xdr:cNvSpPr>
            <a:spLocks/>
          </xdr:cNvSpPr>
        </xdr:nvSpPr>
        <xdr:spPr>
          <a:xfrm>
            <a:off x="721" y="16"/>
            <a:ext cx="34" cy="13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6" name="Polygon 17"/>
          <xdr:cNvSpPr>
            <a:spLocks/>
          </xdr:cNvSpPr>
        </xdr:nvSpPr>
        <xdr:spPr>
          <a:xfrm>
            <a:off x="721" y="17"/>
            <a:ext cx="34" cy="134"/>
          </a:xfrm>
          <a:custGeom>
            <a:pathLst>
              <a:path h="134" w="34">
                <a:moveTo>
                  <a:pt x="17" y="0"/>
                </a:moveTo>
                <a:lnTo>
                  <a:pt x="34" y="15"/>
                </a:lnTo>
                <a:lnTo>
                  <a:pt x="0" y="49"/>
                </a:lnTo>
                <a:lnTo>
                  <a:pt x="34" y="83"/>
                </a:lnTo>
                <a:lnTo>
                  <a:pt x="0" y="117"/>
                </a:lnTo>
                <a:lnTo>
                  <a:pt x="17" y="13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285750</xdr:colOff>
      <xdr:row>10</xdr:row>
      <xdr:rowOff>47625</xdr:rowOff>
    </xdr:from>
    <xdr:to>
      <xdr:col>5</xdr:col>
      <xdr:colOff>361950</xdr:colOff>
      <xdr:row>10</xdr:row>
      <xdr:rowOff>123825</xdr:rowOff>
    </xdr:to>
    <xdr:sp>
      <xdr:nvSpPr>
        <xdr:cNvPr id="17" name="Oval 18"/>
        <xdr:cNvSpPr>
          <a:spLocks/>
        </xdr:cNvSpPr>
      </xdr:nvSpPr>
      <xdr:spPr>
        <a:xfrm>
          <a:off x="1971675" y="1447800"/>
          <a:ext cx="76200" cy="76200"/>
        </a:xfrm>
        <a:prstGeom prst="ellipse">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14</xdr:row>
      <xdr:rowOff>95250</xdr:rowOff>
    </xdr:from>
    <xdr:to>
      <xdr:col>5</xdr:col>
      <xdr:colOff>314325</xdr:colOff>
      <xdr:row>14</xdr:row>
      <xdr:rowOff>95250</xdr:rowOff>
    </xdr:to>
    <xdr:sp>
      <xdr:nvSpPr>
        <xdr:cNvPr id="18" name="Line 19"/>
        <xdr:cNvSpPr>
          <a:spLocks/>
        </xdr:cNvSpPr>
      </xdr:nvSpPr>
      <xdr:spPr>
        <a:xfrm flipH="1">
          <a:off x="1409700" y="218122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14</xdr:row>
      <xdr:rowOff>57150</xdr:rowOff>
    </xdr:from>
    <xdr:to>
      <xdr:col>4</xdr:col>
      <xdr:colOff>371475</xdr:colOff>
      <xdr:row>14</xdr:row>
      <xdr:rowOff>133350</xdr:rowOff>
    </xdr:to>
    <xdr:sp>
      <xdr:nvSpPr>
        <xdr:cNvPr id="19" name="Oval 20"/>
        <xdr:cNvSpPr>
          <a:spLocks/>
        </xdr:cNvSpPr>
      </xdr:nvSpPr>
      <xdr:spPr>
        <a:xfrm>
          <a:off x="1371600" y="2143125"/>
          <a:ext cx="76200" cy="76200"/>
        </a:xfrm>
        <a:prstGeom prst="ellipse">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9</xdr:row>
      <xdr:rowOff>47625</xdr:rowOff>
    </xdr:from>
    <xdr:to>
      <xdr:col>9</xdr:col>
      <xdr:colOff>304800</xdr:colOff>
      <xdr:row>13</xdr:row>
      <xdr:rowOff>123825</xdr:rowOff>
    </xdr:to>
    <xdr:grpSp>
      <xdr:nvGrpSpPr>
        <xdr:cNvPr id="1" name="Group 51"/>
        <xdr:cNvGrpSpPr>
          <a:grpSpLocks/>
        </xdr:cNvGrpSpPr>
      </xdr:nvGrpSpPr>
      <xdr:grpSpPr>
        <a:xfrm>
          <a:off x="952500" y="1162050"/>
          <a:ext cx="2667000" cy="723900"/>
          <a:chOff x="96" y="111"/>
          <a:chExt cx="280" cy="76"/>
        </a:xfrm>
        <a:solidFill>
          <a:srgbClr val="FFFFFF"/>
        </a:solidFill>
      </xdr:grpSpPr>
      <xdr:sp>
        <xdr:nvSpPr>
          <xdr:cNvPr id="2" name="Polygon 2"/>
          <xdr:cNvSpPr>
            <a:spLocks/>
          </xdr:cNvSpPr>
        </xdr:nvSpPr>
        <xdr:spPr>
          <a:xfrm>
            <a:off x="96" y="115"/>
            <a:ext cx="43" cy="25"/>
          </a:xfrm>
          <a:custGeom>
            <a:pathLst>
              <a:path h="22" w="48">
                <a:moveTo>
                  <a:pt x="48" y="0"/>
                </a:moveTo>
                <a:lnTo>
                  <a:pt x="0" y="0"/>
                </a:lnTo>
                <a:lnTo>
                  <a:pt x="0" y="22"/>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Polygon 4"/>
          <xdr:cNvSpPr>
            <a:spLocks/>
          </xdr:cNvSpPr>
        </xdr:nvSpPr>
        <xdr:spPr>
          <a:xfrm flipH="1">
            <a:off x="332" y="115"/>
            <a:ext cx="44" cy="25"/>
          </a:xfrm>
          <a:custGeom>
            <a:pathLst>
              <a:path h="22" w="48">
                <a:moveTo>
                  <a:pt x="48" y="0"/>
                </a:moveTo>
                <a:lnTo>
                  <a:pt x="0" y="0"/>
                </a:lnTo>
                <a:lnTo>
                  <a:pt x="0" y="22"/>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5"/>
          <xdr:cNvSpPr>
            <a:spLocks/>
          </xdr:cNvSpPr>
        </xdr:nvSpPr>
        <xdr:spPr>
          <a:xfrm>
            <a:off x="204" y="115"/>
            <a:ext cx="64"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Polygon 7"/>
          <xdr:cNvSpPr>
            <a:spLocks/>
          </xdr:cNvSpPr>
        </xdr:nvSpPr>
        <xdr:spPr>
          <a:xfrm flipV="1">
            <a:off x="96" y="157"/>
            <a:ext cx="126" cy="27"/>
          </a:xfrm>
          <a:custGeom>
            <a:pathLst>
              <a:path h="22" w="48">
                <a:moveTo>
                  <a:pt x="48" y="0"/>
                </a:moveTo>
                <a:lnTo>
                  <a:pt x="0" y="0"/>
                </a:lnTo>
                <a:lnTo>
                  <a:pt x="0" y="22"/>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Polygon 8"/>
          <xdr:cNvSpPr>
            <a:spLocks/>
          </xdr:cNvSpPr>
        </xdr:nvSpPr>
        <xdr:spPr>
          <a:xfrm flipH="1" flipV="1">
            <a:off x="221" y="157"/>
            <a:ext cx="155" cy="27"/>
          </a:xfrm>
          <a:custGeom>
            <a:pathLst>
              <a:path h="22" w="48">
                <a:moveTo>
                  <a:pt x="48" y="0"/>
                </a:moveTo>
                <a:lnTo>
                  <a:pt x="0" y="0"/>
                </a:lnTo>
                <a:lnTo>
                  <a:pt x="0" y="22"/>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a:off x="236" y="115"/>
            <a:ext cx="0" cy="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12"/>
          <xdr:cNvSpPr>
            <a:spLocks/>
          </xdr:cNvSpPr>
        </xdr:nvSpPr>
        <xdr:spPr>
          <a:xfrm>
            <a:off x="232" y="111"/>
            <a:ext cx="8" cy="8"/>
          </a:xfrm>
          <a:prstGeom prst="ellips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1"/>
          <xdr:cNvSpPr>
            <a:spLocks/>
          </xdr:cNvSpPr>
        </xdr:nvSpPr>
        <xdr:spPr>
          <a:xfrm>
            <a:off x="236" y="157"/>
            <a:ext cx="0" cy="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Oval 13"/>
          <xdr:cNvSpPr>
            <a:spLocks/>
          </xdr:cNvSpPr>
        </xdr:nvSpPr>
        <xdr:spPr>
          <a:xfrm>
            <a:off x="232" y="179"/>
            <a:ext cx="8" cy="8"/>
          </a:xfrm>
          <a:prstGeom prst="ellips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304800</xdr:colOff>
      <xdr:row>19</xdr:row>
      <xdr:rowOff>38100</xdr:rowOff>
    </xdr:from>
    <xdr:to>
      <xdr:col>9</xdr:col>
      <xdr:colOff>304800</xdr:colOff>
      <xdr:row>23</xdr:row>
      <xdr:rowOff>123825</xdr:rowOff>
    </xdr:to>
    <xdr:grpSp>
      <xdr:nvGrpSpPr>
        <xdr:cNvPr id="11" name="Group 50"/>
        <xdr:cNvGrpSpPr>
          <a:grpSpLocks/>
        </xdr:cNvGrpSpPr>
      </xdr:nvGrpSpPr>
      <xdr:grpSpPr>
        <a:xfrm>
          <a:off x="952500" y="2514600"/>
          <a:ext cx="2667000" cy="733425"/>
          <a:chOff x="96" y="253"/>
          <a:chExt cx="280" cy="77"/>
        </a:xfrm>
        <a:solidFill>
          <a:srgbClr val="FFFFFF"/>
        </a:solidFill>
      </xdr:grpSpPr>
      <xdr:sp>
        <xdr:nvSpPr>
          <xdr:cNvPr id="12" name="Polygon 28"/>
          <xdr:cNvSpPr>
            <a:spLocks/>
          </xdr:cNvSpPr>
        </xdr:nvSpPr>
        <xdr:spPr>
          <a:xfrm>
            <a:off x="96" y="257"/>
            <a:ext cx="108" cy="26"/>
          </a:xfrm>
          <a:custGeom>
            <a:pathLst>
              <a:path h="22" w="48">
                <a:moveTo>
                  <a:pt x="48" y="0"/>
                </a:moveTo>
                <a:lnTo>
                  <a:pt x="0" y="0"/>
                </a:lnTo>
                <a:lnTo>
                  <a:pt x="0" y="22"/>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Polygon 29"/>
          <xdr:cNvSpPr>
            <a:spLocks/>
          </xdr:cNvSpPr>
        </xdr:nvSpPr>
        <xdr:spPr>
          <a:xfrm flipH="1">
            <a:off x="268" y="257"/>
            <a:ext cx="108" cy="26"/>
          </a:xfrm>
          <a:custGeom>
            <a:pathLst>
              <a:path h="22" w="48">
                <a:moveTo>
                  <a:pt x="48" y="0"/>
                </a:moveTo>
                <a:lnTo>
                  <a:pt x="0" y="0"/>
                </a:lnTo>
                <a:lnTo>
                  <a:pt x="0" y="22"/>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Polygon 34"/>
          <xdr:cNvSpPr>
            <a:spLocks/>
          </xdr:cNvSpPr>
        </xdr:nvSpPr>
        <xdr:spPr>
          <a:xfrm flipV="1">
            <a:off x="96" y="300"/>
            <a:ext cx="138" cy="26"/>
          </a:xfrm>
          <a:custGeom>
            <a:pathLst>
              <a:path h="22" w="48">
                <a:moveTo>
                  <a:pt x="48" y="0"/>
                </a:moveTo>
                <a:lnTo>
                  <a:pt x="0" y="0"/>
                </a:lnTo>
                <a:lnTo>
                  <a:pt x="0" y="22"/>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Polygon 35"/>
          <xdr:cNvSpPr>
            <a:spLocks/>
          </xdr:cNvSpPr>
        </xdr:nvSpPr>
        <xdr:spPr>
          <a:xfrm flipH="1" flipV="1">
            <a:off x="233" y="300"/>
            <a:ext cx="143" cy="26"/>
          </a:xfrm>
          <a:custGeom>
            <a:pathLst>
              <a:path h="22" w="48">
                <a:moveTo>
                  <a:pt x="48" y="0"/>
                </a:moveTo>
                <a:lnTo>
                  <a:pt x="0" y="0"/>
                </a:lnTo>
                <a:lnTo>
                  <a:pt x="0" y="22"/>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31"/>
          <xdr:cNvSpPr>
            <a:spLocks/>
          </xdr:cNvSpPr>
        </xdr:nvSpPr>
        <xdr:spPr>
          <a:xfrm>
            <a:off x="172" y="258"/>
            <a:ext cx="0" cy="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Oval 32"/>
          <xdr:cNvSpPr>
            <a:spLocks/>
          </xdr:cNvSpPr>
        </xdr:nvSpPr>
        <xdr:spPr>
          <a:xfrm>
            <a:off x="168" y="253"/>
            <a:ext cx="8" cy="8"/>
          </a:xfrm>
          <a:prstGeom prst="ellips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36"/>
          <xdr:cNvSpPr>
            <a:spLocks/>
          </xdr:cNvSpPr>
        </xdr:nvSpPr>
        <xdr:spPr>
          <a:xfrm>
            <a:off x="172" y="300"/>
            <a:ext cx="0" cy="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Oval 37"/>
          <xdr:cNvSpPr>
            <a:spLocks/>
          </xdr:cNvSpPr>
        </xdr:nvSpPr>
        <xdr:spPr>
          <a:xfrm>
            <a:off x="168" y="322"/>
            <a:ext cx="8" cy="8"/>
          </a:xfrm>
          <a:prstGeom prst="ellips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42"/>
          <xdr:cNvSpPr>
            <a:spLocks/>
          </xdr:cNvSpPr>
        </xdr:nvSpPr>
        <xdr:spPr>
          <a:xfrm>
            <a:off x="301" y="258"/>
            <a:ext cx="0" cy="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43"/>
          <xdr:cNvSpPr>
            <a:spLocks/>
          </xdr:cNvSpPr>
        </xdr:nvSpPr>
        <xdr:spPr>
          <a:xfrm>
            <a:off x="297" y="253"/>
            <a:ext cx="8" cy="8"/>
          </a:xfrm>
          <a:prstGeom prst="ellips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44"/>
          <xdr:cNvSpPr>
            <a:spLocks/>
          </xdr:cNvSpPr>
        </xdr:nvSpPr>
        <xdr:spPr>
          <a:xfrm>
            <a:off x="301" y="300"/>
            <a:ext cx="0" cy="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45"/>
          <xdr:cNvSpPr>
            <a:spLocks/>
          </xdr:cNvSpPr>
        </xdr:nvSpPr>
        <xdr:spPr>
          <a:xfrm>
            <a:off x="297" y="322"/>
            <a:ext cx="8" cy="8"/>
          </a:xfrm>
          <a:prstGeom prst="ellips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12</xdr:col>
      <xdr:colOff>600075</xdr:colOff>
      <xdr:row>22</xdr:row>
      <xdr:rowOff>0</xdr:rowOff>
    </xdr:to>
    <xdr:graphicFrame>
      <xdr:nvGraphicFramePr>
        <xdr:cNvPr id="1" name="Chart 5"/>
        <xdr:cNvGraphicFramePr/>
      </xdr:nvGraphicFramePr>
      <xdr:xfrm>
        <a:off x="2438400" y="428625"/>
        <a:ext cx="4257675" cy="2781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419100</xdr:colOff>
      <xdr:row>6</xdr:row>
      <xdr:rowOff>85725</xdr:rowOff>
    </xdr:from>
    <xdr:to>
      <xdr:col>3</xdr:col>
      <xdr:colOff>609600</xdr:colOff>
      <xdr:row>10</xdr:row>
      <xdr:rowOff>38100</xdr:rowOff>
    </xdr:to>
    <xdr:pic>
      <xdr:nvPicPr>
        <xdr:cNvPr id="1" name="Picture 9"/>
        <xdr:cNvPicPr preferRelativeResize="1">
          <a:picLocks noChangeAspect="1"/>
        </xdr:cNvPicPr>
      </xdr:nvPicPr>
      <xdr:blipFill>
        <a:blip r:embed="rId1"/>
        <a:stretch>
          <a:fillRect/>
        </a:stretch>
      </xdr:blipFill>
      <xdr:spPr>
        <a:xfrm>
          <a:off x="533400" y="828675"/>
          <a:ext cx="904875" cy="561975"/>
        </a:xfrm>
        <a:prstGeom prst="rect">
          <a:avLst/>
        </a:prstGeom>
        <a:noFill/>
        <a:ln w="1" cmpd="sng">
          <a:noFill/>
        </a:ln>
      </xdr:spPr>
    </xdr:pic>
    <xdr:clientData/>
  </xdr:twoCellAnchor>
  <xdr:twoCellAnchor editAs="oneCell">
    <xdr:from>
      <xdr:col>7</xdr:col>
      <xdr:colOff>238125</xdr:colOff>
      <xdr:row>6</xdr:row>
      <xdr:rowOff>57150</xdr:rowOff>
    </xdr:from>
    <xdr:to>
      <xdr:col>9</xdr:col>
      <xdr:colOff>66675</xdr:colOff>
      <xdr:row>9</xdr:row>
      <xdr:rowOff>95250</xdr:rowOff>
    </xdr:to>
    <xdr:pic>
      <xdr:nvPicPr>
        <xdr:cNvPr id="2" name="Picture 10" descr="Straight wire inductance"/>
        <xdr:cNvPicPr preferRelativeResize="1">
          <a:picLocks noChangeAspect="1"/>
        </xdr:cNvPicPr>
      </xdr:nvPicPr>
      <xdr:blipFill>
        <a:blip r:embed="rId2"/>
        <a:stretch>
          <a:fillRect/>
        </a:stretch>
      </xdr:blipFill>
      <xdr:spPr>
        <a:xfrm>
          <a:off x="2952750" y="800100"/>
          <a:ext cx="1181100"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47625</xdr:colOff>
      <xdr:row>7</xdr:row>
      <xdr:rowOff>123825</xdr:rowOff>
    </xdr:from>
    <xdr:ext cx="1104900" cy="514350"/>
    <xdr:sp>
      <xdr:nvSpPr>
        <xdr:cNvPr id="1" name="Rectangle 1"/>
        <xdr:cNvSpPr>
          <a:spLocks/>
        </xdr:cNvSpPr>
      </xdr:nvSpPr>
      <xdr:spPr>
        <a:xfrm>
          <a:off x="1447800" y="971550"/>
          <a:ext cx="1104900" cy="514350"/>
        </a:xfrm>
        <a:prstGeom prst="rect">
          <a:avLst/>
        </a:prstGeom>
        <a:solidFill>
          <a:srgbClr val="CCFF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266700</xdr:colOff>
      <xdr:row>9</xdr:row>
      <xdr:rowOff>47625</xdr:rowOff>
    </xdr:from>
    <xdr:ext cx="752475" cy="57150"/>
    <xdr:grpSp>
      <xdr:nvGrpSpPr>
        <xdr:cNvPr id="2" name="Group 2"/>
        <xdr:cNvGrpSpPr>
          <a:grpSpLocks/>
        </xdr:cNvGrpSpPr>
      </xdr:nvGrpSpPr>
      <xdr:grpSpPr>
        <a:xfrm>
          <a:off x="1666875" y="1200150"/>
          <a:ext cx="752475" cy="57150"/>
          <a:chOff x="221" y="101"/>
          <a:chExt cx="79" cy="6"/>
        </a:xfrm>
        <a:solidFill>
          <a:srgbClr val="FFFFFF"/>
        </a:solidFill>
      </xdr:grpSpPr>
      <xdr:sp>
        <xdr:nvSpPr>
          <xdr:cNvPr id="3" name="Line 3"/>
          <xdr:cNvSpPr>
            <a:spLocks/>
          </xdr:cNvSpPr>
        </xdr:nvSpPr>
        <xdr:spPr>
          <a:xfrm>
            <a:off x="221" y="101"/>
            <a:ext cx="78" cy="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flipV="1">
            <a:off x="222" y="101"/>
            <a:ext cx="78" cy="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3</xdr:col>
      <xdr:colOff>104775</xdr:colOff>
      <xdr:row>9</xdr:row>
      <xdr:rowOff>9525</xdr:rowOff>
    </xdr:from>
    <xdr:ext cx="1914525" cy="0"/>
    <xdr:grpSp>
      <xdr:nvGrpSpPr>
        <xdr:cNvPr id="5" name="Group 5"/>
        <xdr:cNvGrpSpPr>
          <a:grpSpLocks/>
        </xdr:cNvGrpSpPr>
      </xdr:nvGrpSpPr>
      <xdr:grpSpPr>
        <a:xfrm>
          <a:off x="1038225" y="1162050"/>
          <a:ext cx="1914525" cy="0"/>
          <a:chOff x="157" y="97"/>
          <a:chExt cx="201" cy="0"/>
        </a:xfrm>
        <a:solidFill>
          <a:srgbClr val="FFFFFF"/>
        </a:solidFill>
      </xdr:grpSpPr>
      <xdr:sp>
        <xdr:nvSpPr>
          <xdr:cNvPr id="6" name="Line 6"/>
          <xdr:cNvSpPr>
            <a:spLocks/>
          </xdr:cNvSpPr>
        </xdr:nvSpPr>
        <xdr:spPr>
          <a:xfrm flipV="1">
            <a:off x="157" y="97"/>
            <a:ext cx="201"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flipV="1">
            <a:off x="330" y="97"/>
            <a:ext cx="14"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flipV="1">
            <a:off x="168" y="97"/>
            <a:ext cx="14"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4</xdr:col>
      <xdr:colOff>66675</xdr:colOff>
      <xdr:row>10</xdr:row>
      <xdr:rowOff>0</xdr:rowOff>
    </xdr:from>
    <xdr:ext cx="1295400" cy="457200"/>
    <xdr:grpSp>
      <xdr:nvGrpSpPr>
        <xdr:cNvPr id="9" name="Group 9"/>
        <xdr:cNvGrpSpPr>
          <a:grpSpLocks/>
        </xdr:cNvGrpSpPr>
      </xdr:nvGrpSpPr>
      <xdr:grpSpPr>
        <a:xfrm>
          <a:off x="1352550" y="1304925"/>
          <a:ext cx="1295400" cy="457200"/>
          <a:chOff x="190" y="112"/>
          <a:chExt cx="136" cy="64"/>
        </a:xfrm>
        <a:solidFill>
          <a:srgbClr val="FFFFFF"/>
        </a:solidFill>
      </xdr:grpSpPr>
      <xdr:sp>
        <xdr:nvSpPr>
          <xdr:cNvPr id="10" name="Polygon 10"/>
          <xdr:cNvSpPr>
            <a:spLocks/>
          </xdr:cNvSpPr>
        </xdr:nvSpPr>
        <xdr:spPr>
          <a:xfrm>
            <a:off x="190" y="112"/>
            <a:ext cx="71" cy="64"/>
          </a:xfrm>
          <a:custGeom>
            <a:pathLst>
              <a:path h="64" w="71">
                <a:moveTo>
                  <a:pt x="71" y="0"/>
                </a:moveTo>
                <a:lnTo>
                  <a:pt x="29" y="0"/>
                </a:lnTo>
                <a:lnTo>
                  <a:pt x="29" y="64"/>
                </a:lnTo>
                <a:lnTo>
                  <a:pt x="0" y="64"/>
                </a:ln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Polygon 11"/>
          <xdr:cNvSpPr>
            <a:spLocks/>
          </xdr:cNvSpPr>
        </xdr:nvSpPr>
        <xdr:spPr>
          <a:xfrm flipH="1">
            <a:off x="255" y="112"/>
            <a:ext cx="71" cy="64"/>
          </a:xfrm>
          <a:custGeom>
            <a:pathLst>
              <a:path h="64" w="71">
                <a:moveTo>
                  <a:pt x="71" y="0"/>
                </a:moveTo>
                <a:lnTo>
                  <a:pt x="29" y="0"/>
                </a:lnTo>
                <a:lnTo>
                  <a:pt x="29" y="64"/>
                </a:lnTo>
                <a:lnTo>
                  <a:pt x="0" y="64"/>
                </a:ln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flipV="1">
            <a:off x="304" y="176"/>
            <a:ext cx="14"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flipH="1" flipV="1">
            <a:off x="197" y="176"/>
            <a:ext cx="14"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oneCellAnchor>
  <xdr:twoCellAnchor>
    <xdr:from>
      <xdr:col>5</xdr:col>
      <xdr:colOff>142875</xdr:colOff>
      <xdr:row>7</xdr:row>
      <xdr:rowOff>142875</xdr:rowOff>
    </xdr:from>
    <xdr:to>
      <xdr:col>6</xdr:col>
      <xdr:colOff>209550</xdr:colOff>
      <xdr:row>8</xdr:row>
      <xdr:rowOff>142875</xdr:rowOff>
    </xdr:to>
    <xdr:sp>
      <xdr:nvSpPr>
        <xdr:cNvPr id="14" name="TextBox 14"/>
        <xdr:cNvSpPr txBox="1">
          <a:spLocks noChangeArrowheads="1"/>
        </xdr:cNvSpPr>
      </xdr:nvSpPr>
      <xdr:spPr>
        <a:xfrm>
          <a:off x="1543050" y="990600"/>
          <a:ext cx="914400" cy="152400"/>
        </a:xfrm>
        <a:prstGeom prst="rect">
          <a:avLst/>
        </a:prstGeom>
        <a:noFill/>
        <a:ln w="9525" cmpd="sng">
          <a:noFill/>
        </a:ln>
      </xdr:spPr>
      <xdr:txBody>
        <a:bodyPr vertOverflow="clip" wrap="square" lIns="0" tIns="0" rIns="0" bIns="0"/>
        <a:p>
          <a:pPr algn="ctr">
            <a:defRPr/>
          </a:pPr>
          <a:r>
            <a:rPr lang="en-US" cap="none" sz="800" b="1" i="0" u="none" baseline="0">
              <a:latin typeface="Arial"/>
              <a:ea typeface="Arial"/>
              <a:cs typeface="Arial"/>
            </a:rPr>
            <a:t>Mainline (</a:t>
          </a:r>
          <a:r>
            <a:rPr lang="en-US" cap="none" sz="800" b="1" i="0" u="none" baseline="0">
              <a:latin typeface="Symbol"/>
              <a:ea typeface="Symbol"/>
              <a:cs typeface="Symbol"/>
            </a:rPr>
            <a:t>l</a:t>
          </a:r>
          <a:r>
            <a:rPr lang="en-US" cap="none" sz="800" b="1" i="0" u="none" baseline="0">
              <a:latin typeface="Arial"/>
              <a:ea typeface="Arial"/>
              <a:cs typeface="Arial"/>
            </a:rPr>
            <a:t>/4)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12</xdr:col>
      <xdr:colOff>600075</xdr:colOff>
      <xdr:row>21</xdr:row>
      <xdr:rowOff>0</xdr:rowOff>
    </xdr:to>
    <xdr:graphicFrame>
      <xdr:nvGraphicFramePr>
        <xdr:cNvPr id="1" name="Chart 1"/>
        <xdr:cNvGraphicFramePr/>
      </xdr:nvGraphicFramePr>
      <xdr:xfrm>
        <a:off x="2438400" y="428625"/>
        <a:ext cx="4257675" cy="26289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12</xdr:col>
      <xdr:colOff>600075</xdr:colOff>
      <xdr:row>21</xdr:row>
      <xdr:rowOff>0</xdr:rowOff>
    </xdr:to>
    <xdr:graphicFrame>
      <xdr:nvGraphicFramePr>
        <xdr:cNvPr id="1" name="Chart 1"/>
        <xdr:cNvGraphicFramePr/>
      </xdr:nvGraphicFramePr>
      <xdr:xfrm>
        <a:off x="2438400" y="428625"/>
        <a:ext cx="4257675" cy="26289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10</xdr:row>
      <xdr:rowOff>114300</xdr:rowOff>
    </xdr:from>
    <xdr:to>
      <xdr:col>7</xdr:col>
      <xdr:colOff>200025</xdr:colOff>
      <xdr:row>13</xdr:row>
      <xdr:rowOff>47625</xdr:rowOff>
    </xdr:to>
    <xdr:sp>
      <xdr:nvSpPr>
        <xdr:cNvPr id="1" name="TextBox 10"/>
        <xdr:cNvSpPr txBox="1">
          <a:spLocks noChangeArrowheads="1"/>
        </xdr:cNvSpPr>
      </xdr:nvSpPr>
      <xdr:spPr>
        <a:xfrm>
          <a:off x="1304925" y="1457325"/>
          <a:ext cx="1428750" cy="390525"/>
        </a:xfrm>
        <a:prstGeom prst="rect">
          <a:avLst/>
        </a:prstGeom>
        <a:noFill/>
        <a:ln w="9525" cmpd="sng">
          <a:noFill/>
        </a:ln>
      </xdr:spPr>
      <xdr:txBody>
        <a:bodyPr vertOverflow="clip" wrap="square" lIns="45720" tIns="45720" rIns="45720" bIns="45720"/>
        <a:p>
          <a:pPr algn="ctr">
            <a:defRPr/>
          </a:pPr>
          <a:r>
            <a:rPr lang="en-US" cap="none" sz="800" b="0" i="0" u="none" baseline="0">
              <a:latin typeface="Arial"/>
              <a:ea typeface="Arial"/>
              <a:cs typeface="Arial"/>
            </a:rPr>
            <a:t>Do not specify a path distance less than </a:t>
          </a:r>
          <a:r>
            <a:rPr lang="en-US" cap="none" sz="800" b="0" i="0" u="none" baseline="0">
              <a:latin typeface="Symbol"/>
              <a:ea typeface="Symbol"/>
              <a:cs typeface="Symbol"/>
            </a:rPr>
            <a:t>l</a:t>
          </a:r>
          <a:r>
            <a:rPr lang="en-US" cap="none" sz="800" b="0" i="0" u="none" baseline="0">
              <a:latin typeface="Arial"/>
              <a:ea typeface="Arial"/>
              <a:cs typeface="Arial"/>
            </a:rPr>
            <a:t>/10.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11</xdr:row>
      <xdr:rowOff>114300</xdr:rowOff>
    </xdr:from>
    <xdr:to>
      <xdr:col>7</xdr:col>
      <xdr:colOff>190500</xdr:colOff>
      <xdr:row>14</xdr:row>
      <xdr:rowOff>66675</xdr:rowOff>
    </xdr:to>
    <xdr:sp>
      <xdr:nvSpPr>
        <xdr:cNvPr id="1" name="TextBox 1"/>
        <xdr:cNvSpPr txBox="1">
          <a:spLocks noChangeArrowheads="1"/>
        </xdr:cNvSpPr>
      </xdr:nvSpPr>
      <xdr:spPr>
        <a:xfrm>
          <a:off x="1295400" y="1638300"/>
          <a:ext cx="1428750" cy="409575"/>
        </a:xfrm>
        <a:prstGeom prst="rect">
          <a:avLst/>
        </a:prstGeom>
        <a:noFill/>
        <a:ln w="9525" cmpd="sng">
          <a:noFill/>
        </a:ln>
      </xdr:spPr>
      <xdr:txBody>
        <a:bodyPr vertOverflow="clip" wrap="square" lIns="45720" tIns="45720" rIns="45720" bIns="45720"/>
        <a:p>
          <a:pPr algn="ctr">
            <a:defRPr/>
          </a:pPr>
          <a:r>
            <a:rPr lang="en-US" cap="none" sz="800" b="0" i="0" u="none" baseline="0">
              <a:latin typeface="Arial"/>
              <a:ea typeface="Arial"/>
              <a:cs typeface="Arial"/>
            </a:rPr>
            <a:t>Do not specify a path distance less than </a:t>
          </a:r>
          <a:r>
            <a:rPr lang="en-US" cap="none" sz="800" b="0" i="0" u="none" baseline="0">
              <a:latin typeface="Symbol"/>
              <a:ea typeface="Symbol"/>
              <a:cs typeface="Symbol"/>
            </a:rPr>
            <a:t>l</a:t>
          </a:r>
          <a:r>
            <a:rPr lang="en-US" cap="none" sz="800" b="0" i="0" u="none" baseline="0">
              <a:latin typeface="Arial"/>
              <a:ea typeface="Arial"/>
              <a:cs typeface="Arial"/>
            </a:rPr>
            <a:t>/10.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ichael\My%20Documents\smith%20chart\Smith%20Chart%20for%20Excel%20-%20Enter%20Impedances%20-%20v1p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ith Chart"/>
    </sheetNames>
    <sheetDataSet>
      <sheetData sheetId="0">
        <row r="4">
          <cell r="B4" t="str">
            <v>Enter name</v>
          </cell>
        </row>
        <row r="5">
          <cell r="G5">
            <v>-1</v>
          </cell>
          <cell r="H5">
            <v>0</v>
          </cell>
          <cell r="I5">
            <v>1</v>
          </cell>
        </row>
        <row r="7">
          <cell r="C7">
            <v>0</v>
          </cell>
          <cell r="D7">
            <v>0</v>
          </cell>
        </row>
        <row r="8">
          <cell r="C8">
            <v>-0.333333333333333</v>
          </cell>
          <cell r="D8">
            <v>0</v>
          </cell>
        </row>
        <row r="9">
          <cell r="C9">
            <v>-0.2</v>
          </cell>
          <cell r="D9">
            <v>0.4</v>
          </cell>
        </row>
        <row r="10">
          <cell r="C10">
            <v>0.2</v>
          </cell>
          <cell r="D10">
            <v>0.4</v>
          </cell>
        </row>
        <row r="11">
          <cell r="C11">
            <v>0.333333333333333</v>
          </cell>
          <cell r="D11">
            <v>0</v>
          </cell>
        </row>
        <row r="12">
          <cell r="C12">
            <v>0.2</v>
          </cell>
          <cell r="D12">
            <v>-0.4</v>
          </cell>
        </row>
        <row r="13">
          <cell r="C13">
            <v>-0.2</v>
          </cell>
          <cell r="D13">
            <v>-0.4</v>
          </cell>
        </row>
        <row r="14">
          <cell r="C14">
            <v>-0.666666666666667</v>
          </cell>
          <cell r="D14">
            <v>0</v>
          </cell>
        </row>
        <row r="15">
          <cell r="C15">
            <v>-0.420118343195266</v>
          </cell>
          <cell r="D15">
            <v>0.591715976331361</v>
          </cell>
        </row>
        <row r="16">
          <cell r="C16">
            <v>0</v>
          </cell>
          <cell r="D16">
            <v>0.999999998</v>
          </cell>
        </row>
        <row r="17">
          <cell r="C17">
            <v>0.823529411764706</v>
          </cell>
          <cell r="D17">
            <v>0.294117647058824</v>
          </cell>
        </row>
        <row r="18">
          <cell r="C18">
            <v>0.818181818181818</v>
          </cell>
          <cell r="D18">
            <v>0</v>
          </cell>
        </row>
        <row r="19">
          <cell r="C19">
            <v>0.823529411764706</v>
          </cell>
          <cell r="D19">
            <v>-0.294117647058824</v>
          </cell>
        </row>
        <row r="20">
          <cell r="C20">
            <v>0</v>
          </cell>
          <cell r="D20">
            <v>-0.999999998</v>
          </cell>
        </row>
        <row r="21">
          <cell r="C21">
            <v>-0.420118343195266</v>
          </cell>
          <cell r="D21">
            <v>-0.591715976331361</v>
          </cell>
        </row>
        <row r="22">
          <cell r="C22">
            <v>-0.999999996</v>
          </cell>
          <cell r="D2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fcafe.com/business/software/rf_cafe_calculator/rf_cafe_calculator.htm" TargetMode="External" /><Relationship Id="rId2" Type="http://schemas.openxmlformats.org/officeDocument/2006/relationships/hyperlink" Target="http://www.rfcafe.com/business/paypal_shopping_cart_software.htm" TargetMode="External" /><Relationship Id="rId3" Type="http://schemas.openxmlformats.org/officeDocument/2006/relationships/hyperlink" Target="mailto:rfcafe@earthlink.net?subject=RF%20Cafe%20Calculator%20Workboo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rfcafe.com/references/_spreadsheets/noise_calc_ss.htm" TargetMode="External" /><Relationship Id="rId2" Type="http://schemas.openxmlformats.org/officeDocument/2006/relationships/hyperlink" Target="http://www.rfcafe.com/business/software/rf_cafe_calculator/rf_cafe_calculator.htm" TargetMode="Externa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rfcafe.com/references/electrical/path_loss_1-way.htm" TargetMode="External" /><Relationship Id="rId2" Type="http://schemas.openxmlformats.org/officeDocument/2006/relationships/hyperlink" Target="http://www.rfcafe.com/business/software/rf_cafe_calculator/rf_cafe_calculator.htm" TargetMode="External" /><Relationship Id="rId3" Type="http://schemas.openxmlformats.org/officeDocument/2006/relationships/comments" Target="../comments11.xml" /><Relationship Id="rId4" Type="http://schemas.openxmlformats.org/officeDocument/2006/relationships/vmlDrawing" Target="../drawings/vmlDrawing7.vml" /><Relationship Id="rId5" Type="http://schemas.openxmlformats.org/officeDocument/2006/relationships/drawing" Target="../drawings/drawing8.xml" /><Relationship Id="rId6"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rfcafe.com/references/electrical/path_loss_2-way.htm" TargetMode="External" /><Relationship Id="rId2" Type="http://schemas.openxmlformats.org/officeDocument/2006/relationships/hyperlink" Target="http://www.rfcafe.com/business/software/rf_cafe_calculator/rf_cafe_calculator.htm" TargetMode="External" /><Relationship Id="rId3" Type="http://schemas.openxmlformats.org/officeDocument/2006/relationships/comments" Target="../comments12.xml" /><Relationship Id="rId4" Type="http://schemas.openxmlformats.org/officeDocument/2006/relationships/vmlDrawing" Target="../drawings/vmlDrawing8.vml" /><Relationship Id="rId5" Type="http://schemas.openxmlformats.org/officeDocument/2006/relationships/drawing" Target="../drawings/drawing9.xml" /><Relationship Id="rId6"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rfcafe.com/references/_spreadsheets/propagation_speed_ss.htm" TargetMode="External" /><Relationship Id="rId2" Type="http://schemas.openxmlformats.org/officeDocument/2006/relationships/hyperlink" Target="http://www.rfcafe.com/business/software/rf_cafe_calculator/rf_cafe_calculator.htm" TargetMode="External" /><Relationship Id="rId3" Type="http://schemas.openxmlformats.org/officeDocument/2006/relationships/comments" Target="../comments13.xml" /><Relationship Id="rId4" Type="http://schemas.openxmlformats.org/officeDocument/2006/relationships/vmlDrawing" Target="../drawings/vmlDrawing9.vml" /><Relationship Id="rId5"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rfcafe.com/references/_spreadsheets/radar_blind_speed_ss.htm" TargetMode="External" /><Relationship Id="rId2" Type="http://schemas.openxmlformats.org/officeDocument/2006/relationships/hyperlink" Target="http://www.rfcafe.com/business/software/rf_cafe_calculator/rf_cafe_calculator.htm" TargetMode="External" /><Relationship Id="rId3" Type="http://schemas.openxmlformats.org/officeDocument/2006/relationships/comments" Target="../comments14.xml" /><Relationship Id="rId4" Type="http://schemas.openxmlformats.org/officeDocument/2006/relationships/vmlDrawing" Target="../drawings/vmlDrawing10.vml" /><Relationship Id="rId5" Type="http://schemas.openxmlformats.org/officeDocument/2006/relationships/drawing" Target="../drawings/drawing10.xml" /><Relationship Id="rId6"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rfcafe.com/references/_spreadsheets/cavity_resonant_freq_calc_ss.htm" TargetMode="External" /><Relationship Id="rId2" Type="http://schemas.openxmlformats.org/officeDocument/2006/relationships/hyperlink" Target="http://www.rfcafe.com/business/software/rf_cafe_calculator/rf_cafe_calculator.htm" TargetMode="External" /><Relationship Id="rId3" Type="http://schemas.openxmlformats.org/officeDocument/2006/relationships/drawing" Target="../drawings/drawing11.xml" /><Relationship Id="rId4"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rfcafe.com/business/software/rf_cafe_calculator/rf_cafe_calculator.htm" TargetMode="External" /><Relationship Id="rId2" Type="http://schemas.openxmlformats.org/officeDocument/2006/relationships/hyperlink" Target="http://www.rfcafe.com/business/software/smith_chart_for_excel/smith_chart_for_excel.htm" TargetMode="External" /><Relationship Id="rId3" Type="http://schemas.openxmlformats.org/officeDocument/2006/relationships/oleObject" Target="../embeddings/oleObject_15_0.bin" /><Relationship Id="rId4" Type="http://schemas.openxmlformats.org/officeDocument/2006/relationships/vmlDrawing" Target="../drawings/vmlDrawing11.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2.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rfcafe.com/references/electrical/vswr_mismatch.htm" TargetMode="External" /><Relationship Id="rId2" Type="http://schemas.openxmlformats.org/officeDocument/2006/relationships/hyperlink" Target="http://www.rfcafe.com/business/software/rf_cafe_calculator/rf_cafe_calculator.htm" TargetMode="External" /><Relationship Id="rId3" Type="http://schemas.openxmlformats.org/officeDocument/2006/relationships/drawing" Target="../drawings/drawing13.xml" /><Relationship Id="rId4"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rfcafe.com/references/_spreadsheets/voltage_divider_calc_ss.htm" TargetMode="External" /><Relationship Id="rId2" Type="http://schemas.openxmlformats.org/officeDocument/2006/relationships/hyperlink" Target="http://www.rfcafe.com/business/software/rf_cafe_calculator/rf_cafe_calculator.htm" TargetMode="External" /><Relationship Id="rId3" Type="http://schemas.openxmlformats.org/officeDocument/2006/relationships/drawing" Target="../drawings/drawing14.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fcafe.com/business/software/rf_cafe_calculator/rf_cafe_calculator.htm" TargetMode="External" /><Relationship Id="rId2" Type="http://schemas.openxmlformats.org/officeDocument/2006/relationships/hyperlink" Target="http://www.rfcafe.com/references/_spreadsheets/atten_calc_ss.htm"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rfcafe.com/business/software/rf_cafe_calculator/rf_cafe_calculator.htm" TargetMode="External" /><Relationship Id="rId2" Type="http://schemas.openxmlformats.org/officeDocument/2006/relationships/comments" Target="../comments20.xml" /><Relationship Id="rId3" Type="http://schemas.openxmlformats.org/officeDocument/2006/relationships/vmlDrawing" Target="../drawings/vmlDrawing13.vml" /><Relationship Id="rId4"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rfcafe.com/business/software/rf_cafe_calculator/rf_cafe_calculator.htm" TargetMode="External" /><Relationship Id="rId2" Type="http://schemas.openxmlformats.org/officeDocument/2006/relationships/hyperlink" Target="http://www.rfcafe.com/business/paypal_shopping_cart_software.htm" TargetMode="External" /><Relationship Id="rId3" Type="http://schemas.openxmlformats.org/officeDocument/2006/relationships/hyperlink" Target="mailto:rfcafe@earthlink.net?subject=RF%20Cafe%20Calculator%20Workbook" TargetMode="External" /><Relationship Id="rId4"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hyperlink" Target="http://www.rfcafe.com/business/software/rf_cafe_calculator/rf_cafe_calculator.htm" TargetMode="External" /><Relationship Id="rId2" Type="http://schemas.openxmlformats.org/officeDocument/2006/relationships/hyperlink" Target="http://www.rfcafe.com/references/_spreadsheets/bp_butter_plot_ss.htm" TargetMode="External" /><Relationship Id="rId3" Type="http://schemas.openxmlformats.org/officeDocument/2006/relationships/hyperlink" Target="http://www.rfcafe.com/references/_spreadsheets/bp_cheby_plot_ss.htm" TargetMode="External" /><Relationship Id="rId4" Type="http://schemas.openxmlformats.org/officeDocument/2006/relationships/comments" Target="../comments3.xml" /><Relationship Id="rId5" Type="http://schemas.openxmlformats.org/officeDocument/2006/relationships/vmlDrawing" Target="../drawings/vmlDrawing2.vml" /><Relationship Id="rId6" Type="http://schemas.openxmlformats.org/officeDocument/2006/relationships/drawing" Target="../drawings/drawing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rfcafe.com/business/software/rf_cafe_calculator/rf_cafe_calculator.htm" TargetMode="External" /><Relationship Id="rId2" Type="http://schemas.openxmlformats.org/officeDocument/2006/relationships/hyperlink" Target="http://www.rfcafe.com/references/_spreadsheets/cascade_calc_ss.htm" TargetMode="External" /><Relationship Id="rId3" Type="http://schemas.openxmlformats.org/officeDocument/2006/relationships/comments" Target="../comments4.xml" /><Relationship Id="rId4" Type="http://schemas.openxmlformats.org/officeDocument/2006/relationships/vmlDrawing" Target="../drawings/vmlDrawing3.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rfcafe.com/references/electrical/wire_cu.htm" TargetMode="External" /><Relationship Id="rId2" Type="http://schemas.openxmlformats.org/officeDocument/2006/relationships/hyperlink" Target="http://www.rfcafe.com/references/_spreadsheets/inductor_calc_ss.htm" TargetMode="External" /><Relationship Id="rId3" Type="http://schemas.openxmlformats.org/officeDocument/2006/relationships/hyperlink" Target="http://www.rfcafe.com/business/software/rf_cafe_calculator/rf_cafe_calculator.htm" TargetMode="Externa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rfcafe.com/business/software/rf_cafe_calculator/rf_cafe_calculator.htm" TargetMode="External" /><Relationship Id="rId2" Type="http://schemas.openxmlformats.org/officeDocument/2006/relationships/hyperlink" Target="http://www.rfcafe.com/references/_spreadsheets/coupler_calc_ss.htm" TargetMode="External" /><Relationship Id="rId3" Type="http://schemas.openxmlformats.org/officeDocument/2006/relationships/comments" Target="../comments6.xml" /><Relationship Id="rId4" Type="http://schemas.openxmlformats.org/officeDocument/2006/relationships/vmlDrawing" Target="../drawings/vmlDrawing4.vml" /><Relationship Id="rId5" Type="http://schemas.openxmlformats.org/officeDocument/2006/relationships/drawing" Target="../drawings/drawing5.x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rfcafe.com/business/software/rf_cafe_calculator/rf_cafe_calculator.htm" TargetMode="External" /><Relationship Id="rId2" Type="http://schemas.openxmlformats.org/officeDocument/2006/relationships/hyperlink" Target="http://www.rfcafe.com/references/_spreadsheets/hp_butter_plot_ss.htm" TargetMode="External" /><Relationship Id="rId3" Type="http://schemas.openxmlformats.org/officeDocument/2006/relationships/hyperlink" Target="http://www.rfcafe.com/references/_spreadsheets/hp_cheby_plot_ss.htm" TargetMode="External" /><Relationship Id="rId4" Type="http://schemas.openxmlformats.org/officeDocument/2006/relationships/comments" Target="../comments7.xml" /><Relationship Id="rId5" Type="http://schemas.openxmlformats.org/officeDocument/2006/relationships/vmlDrawing" Target="../drawings/vmlDrawing5.vml" /><Relationship Id="rId6" Type="http://schemas.openxmlformats.org/officeDocument/2006/relationships/drawing" Target="../drawings/drawing6.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rfcafe.com/business/software/rf_cafe_calculator/rf_cafe_calculator.htm" TargetMode="External" /><Relationship Id="rId2" Type="http://schemas.openxmlformats.org/officeDocument/2006/relationships/hyperlink" Target="http://www.rfcafe.com/references/_spreadsheets/lp_butter_plot_ss.htm" TargetMode="External" /><Relationship Id="rId3" Type="http://schemas.openxmlformats.org/officeDocument/2006/relationships/hyperlink" Target="http://www.rfcafe.com/references/_spreadsheets/lp_cheby_plot_ss.htm" TargetMode="External" /><Relationship Id="rId4" Type="http://schemas.openxmlformats.org/officeDocument/2006/relationships/comments" Target="../comments8.xml" /><Relationship Id="rId5" Type="http://schemas.openxmlformats.org/officeDocument/2006/relationships/vmlDrawing" Target="../drawings/vmlDrawing6.vml" /><Relationship Id="rId6" Type="http://schemas.openxmlformats.org/officeDocument/2006/relationships/drawing" Target="../drawings/drawing7.xml" /><Relationship Id="rId7"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rfcafe.com/references/_spreadsheets/frequency_conversion_calculator.htm" TargetMode="External" /><Relationship Id="rId2" Type="http://schemas.openxmlformats.org/officeDocument/2006/relationships/hyperlink" Target="http://www.rfcafe.com/business/software/rf_cafe_calculator/rf_cafe_calculator.htm" TargetMode="External" /></Relationships>
</file>

<file path=xl/worksheets/sheet1.xml><?xml version="1.0" encoding="utf-8"?>
<worksheet xmlns="http://schemas.openxmlformats.org/spreadsheetml/2006/main" xmlns:r="http://schemas.openxmlformats.org/officeDocument/2006/relationships">
  <sheetPr codeName="Sheet6">
    <pageSetUpPr fitToPage="1"/>
  </sheetPr>
  <dimension ref="B2:L26"/>
  <sheetViews>
    <sheetView showGridLines="0" showRowColHeaders="0" workbookViewId="0" topLeftCell="A1">
      <selection activeCell="K8" sqref="K8"/>
    </sheetView>
  </sheetViews>
  <sheetFormatPr defaultColWidth="9.140625" defaultRowHeight="12" zeroHeight="1"/>
  <cols>
    <col min="1" max="1" width="0.5625" style="0" customWidth="1"/>
    <col min="2" max="3" width="1.1484375" style="0" customWidth="1"/>
    <col min="10" max="10" width="4.7109375" style="0" customWidth="1"/>
    <col min="11" max="11" width="30.140625" style="0" customWidth="1"/>
    <col min="12" max="12" width="1.1484375" style="0" customWidth="1"/>
    <col min="13" max="13" width="0.5625" style="0" customWidth="1"/>
    <col min="14" max="16384" width="0" style="0" hidden="1" customWidth="1"/>
  </cols>
  <sheetData>
    <row r="1" ht="3" customHeight="1" thickBot="1"/>
    <row r="2" spans="2:12" ht="6" customHeight="1" thickTop="1">
      <c r="B2" s="40"/>
      <c r="C2" s="41"/>
      <c r="D2" s="41"/>
      <c r="E2" s="41"/>
      <c r="F2" s="41"/>
      <c r="G2" s="41"/>
      <c r="H2" s="41"/>
      <c r="I2" s="41"/>
      <c r="J2" s="41"/>
      <c r="K2" s="41"/>
      <c r="L2" s="42"/>
    </row>
    <row r="3" spans="2:12" ht="12">
      <c r="B3" s="43"/>
      <c r="C3" s="39"/>
      <c r="D3" s="39"/>
      <c r="E3" s="39"/>
      <c r="F3" s="39"/>
      <c r="G3" s="39"/>
      <c r="H3" s="39"/>
      <c r="I3" s="39"/>
      <c r="J3" s="39"/>
      <c r="K3" s="39"/>
      <c r="L3" s="44"/>
    </row>
    <row r="4" spans="2:12" ht="12">
      <c r="B4" s="43"/>
      <c r="C4" s="39"/>
      <c r="D4" s="39"/>
      <c r="E4" s="39"/>
      <c r="F4" s="39"/>
      <c r="G4" s="409"/>
      <c r="H4" s="39"/>
      <c r="I4" s="39"/>
      <c r="J4" s="39"/>
      <c r="K4" s="410"/>
      <c r="L4" s="44"/>
    </row>
    <row r="5" spans="2:12" ht="12">
      <c r="B5" s="43"/>
      <c r="C5" s="39"/>
      <c r="D5" s="39"/>
      <c r="E5" s="39"/>
      <c r="F5" s="39"/>
      <c r="G5" s="39"/>
      <c r="H5" s="39"/>
      <c r="I5" s="39"/>
      <c r="J5" s="39"/>
      <c r="K5" s="262"/>
      <c r="L5" s="44"/>
    </row>
    <row r="6" spans="2:12" ht="15" customHeight="1" thickBot="1">
      <c r="B6" s="43"/>
      <c r="C6" s="39"/>
      <c r="D6" s="39"/>
      <c r="E6" s="39"/>
      <c r="F6" s="39"/>
      <c r="G6" s="39"/>
      <c r="H6" s="39"/>
      <c r="I6" s="39"/>
      <c r="J6" s="39"/>
      <c r="K6" s="430" t="s">
        <v>144</v>
      </c>
      <c r="L6" s="44"/>
    </row>
    <row r="7" spans="2:12" ht="12">
      <c r="B7" s="43"/>
      <c r="C7" s="39"/>
      <c r="D7" s="489" t="s">
        <v>140</v>
      </c>
      <c r="E7" s="489"/>
      <c r="F7" s="489"/>
      <c r="G7" s="489"/>
      <c r="H7" s="489"/>
      <c r="I7" s="489"/>
      <c r="J7" s="261"/>
      <c r="K7" s="411" t="s">
        <v>145</v>
      </c>
      <c r="L7" s="44"/>
    </row>
    <row r="8" spans="2:12" ht="12">
      <c r="B8" s="43"/>
      <c r="C8" s="246"/>
      <c r="D8" s="490" t="s">
        <v>279</v>
      </c>
      <c r="E8" s="490"/>
      <c r="F8" s="490"/>
      <c r="G8" s="490"/>
      <c r="H8" s="490"/>
      <c r="I8" s="490"/>
      <c r="J8" s="253"/>
      <c r="K8" s="411" t="s">
        <v>146</v>
      </c>
      <c r="L8" s="44"/>
    </row>
    <row r="9" spans="2:12" ht="12">
      <c r="B9" s="43"/>
      <c r="C9" s="39"/>
      <c r="D9" s="491" t="str">
        <f>"by RF Cafe"</f>
        <v>by RF Cafe</v>
      </c>
      <c r="E9" s="491"/>
      <c r="F9" s="491"/>
      <c r="G9" s="491"/>
      <c r="H9" s="491"/>
      <c r="I9" s="491"/>
      <c r="J9" s="168"/>
      <c r="K9" s="411" t="s">
        <v>207</v>
      </c>
      <c r="L9" s="44"/>
    </row>
    <row r="10" spans="2:12" ht="12">
      <c r="B10" s="43"/>
      <c r="C10" s="39"/>
      <c r="D10" s="168"/>
      <c r="E10" s="168"/>
      <c r="F10" s="168"/>
      <c r="G10" s="168"/>
      <c r="H10" s="168"/>
      <c r="I10" s="168"/>
      <c r="J10" s="168"/>
      <c r="K10" s="411" t="s">
        <v>275</v>
      </c>
      <c r="L10" s="44"/>
    </row>
    <row r="11" spans="2:12" ht="12">
      <c r="B11" s="43"/>
      <c r="C11" s="39"/>
      <c r="D11" s="168"/>
      <c r="E11" s="168"/>
      <c r="F11" s="168"/>
      <c r="G11" s="168"/>
      <c r="H11" s="168"/>
      <c r="I11" s="168"/>
      <c r="J11" s="168"/>
      <c r="K11" s="411" t="s">
        <v>221</v>
      </c>
      <c r="L11" s="44"/>
    </row>
    <row r="12" spans="2:12" ht="12">
      <c r="B12" s="43"/>
      <c r="C12" s="39"/>
      <c r="D12" s="168"/>
      <c r="E12" s="168"/>
      <c r="F12" s="168"/>
      <c r="G12" s="168"/>
      <c r="H12" s="168"/>
      <c r="I12" s="168"/>
      <c r="J12" s="168"/>
      <c r="K12" s="412" t="s">
        <v>147</v>
      </c>
      <c r="L12" s="44"/>
    </row>
    <row r="13" spans="2:12" ht="12" customHeight="1">
      <c r="B13" s="43"/>
      <c r="C13" s="39"/>
      <c r="D13" s="39"/>
      <c r="E13" s="39"/>
      <c r="F13" s="39"/>
      <c r="G13" s="39"/>
      <c r="H13" s="39"/>
      <c r="I13" s="39"/>
      <c r="J13" s="39"/>
      <c r="K13" s="412" t="s">
        <v>148</v>
      </c>
      <c r="L13" s="44"/>
    </row>
    <row r="14" spans="2:12" ht="12" customHeight="1">
      <c r="B14" s="43"/>
      <c r="C14" s="39"/>
      <c r="D14" s="492"/>
      <c r="E14" s="492"/>
      <c r="F14" s="492"/>
      <c r="G14" s="492"/>
      <c r="H14" s="492"/>
      <c r="I14" s="492"/>
      <c r="J14" s="145"/>
      <c r="K14" s="411" t="s">
        <v>217</v>
      </c>
      <c r="L14" s="44"/>
    </row>
    <row r="15" spans="2:12" ht="12" customHeight="1">
      <c r="B15" s="43"/>
      <c r="C15" s="39"/>
      <c r="D15" s="145"/>
      <c r="E15" s="145"/>
      <c r="F15" s="145"/>
      <c r="G15" s="145"/>
      <c r="H15" s="145"/>
      <c r="I15" s="145"/>
      <c r="J15" s="145"/>
      <c r="K15" s="412" t="s">
        <v>151</v>
      </c>
      <c r="L15" s="44"/>
    </row>
    <row r="16" spans="2:12" ht="12">
      <c r="B16" s="43"/>
      <c r="C16" s="39"/>
      <c r="D16" s="249" t="s">
        <v>136</v>
      </c>
      <c r="F16" s="247"/>
      <c r="G16" s="247"/>
      <c r="I16" s="248" t="s">
        <v>132</v>
      </c>
      <c r="J16" s="248"/>
      <c r="K16" s="412" t="s">
        <v>149</v>
      </c>
      <c r="L16" s="44"/>
    </row>
    <row r="17" spans="2:12" ht="12">
      <c r="B17" s="43"/>
      <c r="C17" s="39"/>
      <c r="D17" s="39"/>
      <c r="E17" s="39"/>
      <c r="F17" s="39"/>
      <c r="G17" s="39"/>
      <c r="H17" s="39"/>
      <c r="I17" s="39"/>
      <c r="J17" s="39"/>
      <c r="K17" s="412" t="s">
        <v>150</v>
      </c>
      <c r="L17" s="44"/>
    </row>
    <row r="18" spans="2:12" ht="12">
      <c r="B18" s="43"/>
      <c r="C18" s="39"/>
      <c r="D18" s="39"/>
      <c r="E18" s="39"/>
      <c r="F18" s="39"/>
      <c r="G18" s="39"/>
      <c r="H18" s="39"/>
      <c r="I18" s="39"/>
      <c r="J18" s="39"/>
      <c r="K18" s="411" t="s">
        <v>231</v>
      </c>
      <c r="L18" s="44"/>
    </row>
    <row r="19" spans="2:12" ht="12" customHeight="1">
      <c r="B19" s="43"/>
      <c r="C19" s="39"/>
      <c r="D19" s="488"/>
      <c r="E19" s="488"/>
      <c r="F19" s="488"/>
      <c r="G19" s="488"/>
      <c r="H19" s="488"/>
      <c r="I19" s="488"/>
      <c r="J19" s="250"/>
      <c r="K19" s="412" t="s">
        <v>92</v>
      </c>
      <c r="L19" s="44"/>
    </row>
    <row r="20" spans="2:12" ht="12" customHeight="1">
      <c r="B20" s="43"/>
      <c r="C20" s="39"/>
      <c r="D20" s="250"/>
      <c r="E20" s="250"/>
      <c r="F20" s="250"/>
      <c r="G20" s="250"/>
      <c r="H20" s="250"/>
      <c r="I20" s="250"/>
      <c r="J20" s="250"/>
      <c r="K20" s="412" t="s">
        <v>159</v>
      </c>
      <c r="L20" s="44"/>
    </row>
    <row r="21" spans="2:12" ht="12" customHeight="1">
      <c r="B21" s="43"/>
      <c r="C21" s="39"/>
      <c r="D21" s="250"/>
      <c r="E21" s="250"/>
      <c r="F21" s="250"/>
      <c r="G21" s="250"/>
      <c r="H21" s="250"/>
      <c r="I21" s="250"/>
      <c r="J21" s="250"/>
      <c r="K21" s="412" t="s">
        <v>280</v>
      </c>
      <c r="L21" s="44"/>
    </row>
    <row r="22" spans="2:12" ht="12" customHeight="1">
      <c r="B22" s="43"/>
      <c r="C22" s="39"/>
      <c r="D22" s="250"/>
      <c r="E22" s="250"/>
      <c r="F22" s="250"/>
      <c r="G22" s="250"/>
      <c r="H22" s="250"/>
      <c r="I22" s="250"/>
      <c r="J22" s="250"/>
      <c r="K22" s="412" t="s">
        <v>152</v>
      </c>
      <c r="L22" s="44"/>
    </row>
    <row r="23" spans="2:12" ht="12" customHeight="1">
      <c r="B23" s="43"/>
      <c r="C23" s="39"/>
      <c r="D23" s="250"/>
      <c r="E23" s="250"/>
      <c r="F23" s="250"/>
      <c r="G23" s="250"/>
      <c r="H23" s="250"/>
      <c r="I23" s="250"/>
      <c r="J23" s="250"/>
      <c r="K23" s="412" t="s">
        <v>153</v>
      </c>
      <c r="L23" s="44"/>
    </row>
    <row r="24" spans="2:12" ht="12">
      <c r="B24" s="43"/>
      <c r="C24" s="39"/>
      <c r="D24" s="251" t="s">
        <v>138</v>
      </c>
      <c r="E24" s="251"/>
      <c r="F24" s="251"/>
      <c r="G24" s="252" t="s">
        <v>139</v>
      </c>
      <c r="H24" s="251"/>
      <c r="I24" s="431" t="s">
        <v>141</v>
      </c>
      <c r="J24" s="258"/>
      <c r="K24" s="413" t="s">
        <v>301</v>
      </c>
      <c r="L24" s="44"/>
    </row>
    <row r="25" spans="2:12" ht="12">
      <c r="B25" s="43"/>
      <c r="C25" s="39"/>
      <c r="D25" s="251"/>
      <c r="E25" s="251"/>
      <c r="F25" s="251"/>
      <c r="G25" s="252"/>
      <c r="H25" s="251"/>
      <c r="I25" s="258"/>
      <c r="J25" s="258"/>
      <c r="L25" s="44"/>
    </row>
    <row r="26" spans="2:12" ht="6" customHeight="1" thickBot="1">
      <c r="B26" s="45"/>
      <c r="C26" s="46"/>
      <c r="D26" s="46"/>
      <c r="E26" s="46"/>
      <c r="F26" s="46"/>
      <c r="G26" s="46"/>
      <c r="H26" s="46"/>
      <c r="I26" s="46"/>
      <c r="J26" s="46"/>
      <c r="K26" s="46"/>
      <c r="L26" s="47"/>
    </row>
    <row r="27" ht="3" customHeight="1" thickTop="1"/>
    <row r="28" ht="12" hidden="1"/>
    <row r="29" ht="12" hidden="1"/>
    <row r="30" ht="12" hidden="1"/>
    <row r="31" ht="12" hidden="1"/>
    <row r="32" ht="12" hidden="1"/>
    <row r="33" ht="12" hidden="1"/>
    <row r="34" ht="12" hidden="1"/>
    <row r="35" ht="12" hidden="1"/>
    <row r="36" ht="12" hidden="1"/>
  </sheetData>
  <sheetProtection password="F39F" sheet="1" objects="1" scenarios="1"/>
  <mergeCells count="5">
    <mergeCell ref="D19:I19"/>
    <mergeCell ref="D7:I7"/>
    <mergeCell ref="D8:I8"/>
    <mergeCell ref="D9:I9"/>
    <mergeCell ref="D14:I14"/>
  </mergeCells>
  <hyperlinks>
    <hyperlink ref="I16" r:id="rId1" tooltip="Click here to check for updates to this calculator" display="Click here to check for Updates"/>
    <hyperlink ref="D16" r:id="rId2" tooltip="Click here to check for updates to this calculator" display="Click here to check to purchase unlocked version"/>
    <hyperlink ref="G24" r:id="rId3" tooltip="Please click here to send an e-mail" display="rfcafe@earthlink.net"/>
    <hyperlink ref="I24" location="Revisions!D13" display="Revision History"/>
    <hyperlink ref="K7" location="Attenuators!F6" display="Attenuators"/>
    <hyperlink ref="K8" location="BPF!D5" display="Bandpass Filters"/>
    <hyperlink ref="K9" location="Cascade!D6" display="Cascaded Components"/>
    <hyperlink ref="K10" location="Coils!D12" display="Coils / Inductors"/>
    <hyperlink ref="K11" location="Coupler!C7" display="Directional Couplers"/>
    <hyperlink ref="K12" location="HPF!D5" display="Highpass Filters"/>
    <hyperlink ref="K13" location="LPF!D5" display="Lowpass Filters"/>
    <hyperlink ref="K14" location="Mixer!D7" display="Mixer Frequency Conversion"/>
    <hyperlink ref="K15" location="'NF-NT'!E6" display="Noise Figure↔Temp"/>
    <hyperlink ref="K16" location="'Path Loss 1-Way'!C8" display="Path Loss, 1-Way"/>
    <hyperlink ref="K17" location="'Path Loss 2-Way'!C8" display="Path Loss, 2-Way"/>
    <hyperlink ref="K18" location="'Prop Time'!C7" display="Propagation Time"/>
    <hyperlink ref="K19" location="'Radar Blind Speed'!C8" display="Radar Blind Speed"/>
    <hyperlink ref="K20" location="'Rectangular Cavity'!G9" display="Rectangular Cavity"/>
    <hyperlink ref="K22" location="'VSWR-RL'!D8" display="VSWR↔RL↔Gamma"/>
    <hyperlink ref="K23" location="'Voltage Divider'!E6" display="Voltage Divider"/>
    <hyperlink ref="K21" location="'Smith Chart'!I16" display="Smith Chart"/>
    <hyperlink ref="K24" location="'Vrms,Vavg'!E5" display="Voltages &amp; Power - Vrms, Vavg, Vpk"/>
  </hyperlinks>
  <printOptions/>
  <pageMargins left="0.5" right="0.5" top="0.5" bottom="0.5" header="0.5" footer="0.5"/>
  <pageSetup fitToHeight="1" fitToWidth="1" horizontalDpi="600" verticalDpi="600" orientation="portrait" r:id="rId5"/>
  <drawing r:id="rId4"/>
</worksheet>
</file>

<file path=xl/worksheets/sheet10.xml><?xml version="1.0" encoding="utf-8"?>
<worksheet xmlns="http://schemas.openxmlformats.org/spreadsheetml/2006/main" xmlns:r="http://schemas.openxmlformats.org/officeDocument/2006/relationships">
  <sheetPr codeName="Sheet13">
    <pageSetUpPr fitToPage="1"/>
  </sheetPr>
  <dimension ref="B2:K11"/>
  <sheetViews>
    <sheetView showGridLines="0" showRowColHeaders="0" workbookViewId="0" topLeftCell="A1">
      <selection activeCell="E6" sqref="E6"/>
    </sheetView>
  </sheetViews>
  <sheetFormatPr defaultColWidth="9.140625" defaultRowHeight="12" zeroHeight="1"/>
  <cols>
    <col min="1" max="1" width="0.5625" style="135" customWidth="1"/>
    <col min="2" max="2" width="1.1484375" style="135" customWidth="1"/>
    <col min="3" max="3" width="8.7109375" style="135" customWidth="1"/>
    <col min="4" max="5" width="9.140625" style="135" customWidth="1"/>
    <col min="6" max="6" width="3.7109375" style="135" customWidth="1"/>
    <col min="7" max="9" width="9.140625" style="135" customWidth="1"/>
    <col min="10" max="10" width="3.7109375" style="135" customWidth="1"/>
    <col min="11" max="11" width="1.1484375" style="135" customWidth="1"/>
    <col min="12" max="12" width="0.5625" style="135" customWidth="1"/>
    <col min="13" max="16384" width="0" style="135" hidden="1" customWidth="1"/>
  </cols>
  <sheetData>
    <row r="1" ht="3" customHeight="1" thickBot="1"/>
    <row r="2" spans="2:11" ht="6" customHeight="1" thickTop="1">
      <c r="B2" s="136"/>
      <c r="C2" s="137"/>
      <c r="D2" s="137"/>
      <c r="E2" s="137"/>
      <c r="F2" s="137"/>
      <c r="G2" s="137"/>
      <c r="H2" s="137"/>
      <c r="I2" s="137"/>
      <c r="J2" s="137"/>
      <c r="K2" s="138"/>
    </row>
    <row r="3" spans="2:11" ht="12">
      <c r="B3" s="139"/>
      <c r="C3" s="481" t="s">
        <v>130</v>
      </c>
      <c r="D3" s="481"/>
      <c r="E3" s="481"/>
      <c r="F3" s="481"/>
      <c r="G3" s="481"/>
      <c r="H3" s="481"/>
      <c r="I3" s="481"/>
      <c r="J3" s="481"/>
      <c r="K3" s="140"/>
    </row>
    <row r="4" spans="2:11" ht="12.75">
      <c r="B4" s="139"/>
      <c r="C4" s="249" t="s">
        <v>131</v>
      </c>
      <c r="E4" s="167"/>
      <c r="F4" s="167"/>
      <c r="G4" s="167"/>
      <c r="J4" s="248" t="s">
        <v>132</v>
      </c>
      <c r="K4" s="140"/>
    </row>
    <row r="5" spans="2:11" ht="12">
      <c r="B5" s="139"/>
      <c r="C5" s="141"/>
      <c r="D5" s="86"/>
      <c r="E5" s="86"/>
      <c r="F5" s="86"/>
      <c r="G5" s="86"/>
      <c r="H5" s="86"/>
      <c r="I5" s="86"/>
      <c r="J5" s="86"/>
      <c r="K5" s="140"/>
    </row>
    <row r="6" spans="2:11" ht="12">
      <c r="B6" s="139"/>
      <c r="C6" s="141"/>
      <c r="D6" s="129" t="s">
        <v>10</v>
      </c>
      <c r="E6" s="130">
        <v>3.01</v>
      </c>
      <c r="F6" s="131" t="s">
        <v>0</v>
      </c>
      <c r="G6" s="131"/>
      <c r="H6" s="129" t="s">
        <v>11</v>
      </c>
      <c r="I6" s="86">
        <f>290*(10^(E6/10)-1)</f>
        <v>289.9599421934958</v>
      </c>
      <c r="J6" s="131" t="s">
        <v>12</v>
      </c>
      <c r="K6" s="140"/>
    </row>
    <row r="7" spans="2:11" ht="12">
      <c r="B7" s="139"/>
      <c r="C7" s="141"/>
      <c r="D7" s="86"/>
      <c r="E7" s="86"/>
      <c r="F7" s="86"/>
      <c r="G7" s="86"/>
      <c r="H7" s="86"/>
      <c r="I7" s="86"/>
      <c r="J7" s="86"/>
      <c r="K7" s="140"/>
    </row>
    <row r="8" spans="2:11" ht="12">
      <c r="B8" s="139"/>
      <c r="C8" s="141"/>
      <c r="D8" s="129" t="s">
        <v>11</v>
      </c>
      <c r="E8" s="130">
        <v>289.96</v>
      </c>
      <c r="F8" s="131" t="s">
        <v>12</v>
      </c>
      <c r="G8" s="131"/>
      <c r="H8" s="129" t="s">
        <v>10</v>
      </c>
      <c r="I8" s="86">
        <f>10*LOG(E8/290+1)</f>
        <v>3.010000432875492</v>
      </c>
      <c r="J8" s="131" t="s">
        <v>0</v>
      </c>
      <c r="K8" s="140"/>
    </row>
    <row r="9" spans="2:11" ht="12">
      <c r="B9" s="139"/>
      <c r="C9" s="141"/>
      <c r="D9" s="132"/>
      <c r="E9" s="86"/>
      <c r="F9" s="131"/>
      <c r="G9" s="131"/>
      <c r="H9" s="132"/>
      <c r="I9" s="60"/>
      <c r="J9" s="131"/>
      <c r="K9" s="140"/>
    </row>
    <row r="10" spans="2:11" ht="12">
      <c r="B10" s="139"/>
      <c r="C10" s="102" t="str">
        <f>Home!$D$7&amp;", "&amp;Home!$D$8&amp;", "&amp;Home!$D$9</f>
        <v>RF Cafe Calculator Workbook, v6.0, by RF Cafe</v>
      </c>
      <c r="D10" s="86"/>
      <c r="E10" s="86"/>
      <c r="F10" s="86"/>
      <c r="G10" s="86"/>
      <c r="H10" s="133"/>
      <c r="I10" s="86"/>
      <c r="J10" s="420" t="s">
        <v>197</v>
      </c>
      <c r="K10" s="140"/>
    </row>
    <row r="11" spans="2:11" ht="6" customHeight="1" thickBot="1">
      <c r="B11" s="142"/>
      <c r="C11" s="143"/>
      <c r="D11" s="36"/>
      <c r="E11" s="36"/>
      <c r="F11" s="36"/>
      <c r="G11" s="36"/>
      <c r="H11" s="36"/>
      <c r="I11" s="36"/>
      <c r="J11" s="143"/>
      <c r="K11" s="144"/>
    </row>
    <row r="12" ht="3" customHeight="1" thickTop="1"/>
  </sheetData>
  <sheetProtection password="F39F" sheet="1" objects="1" scenarios="1"/>
  <mergeCells count="1">
    <mergeCell ref="C3:J3"/>
  </mergeCells>
  <hyperlinks>
    <hyperlink ref="C4" r:id="rId1" display="Click here for the online version"/>
    <hyperlink ref="J4" r:id="rId2" tooltip="Click here to check for updates to this calculator" display="Click here to check for Updates"/>
    <hyperlink ref="J10" location="Home!D7" tooltip="Click to return to title page with calculator list" display="Home"/>
  </hyperlinks>
  <printOptions/>
  <pageMargins left="0.5" right="0.5" top="0.5" bottom="0.5" header="0.5" footer="0.5"/>
  <pageSetup fitToHeight="1" fitToWidth="1" horizontalDpi="600" verticalDpi="600" orientation="portrait" r:id="rId3"/>
</worksheet>
</file>

<file path=xl/worksheets/sheet11.xml><?xml version="1.0" encoding="utf-8"?>
<worksheet xmlns="http://schemas.openxmlformats.org/spreadsheetml/2006/main" xmlns:r="http://schemas.openxmlformats.org/officeDocument/2006/relationships">
  <sheetPr codeName="Sheet9">
    <pageSetUpPr fitToPage="1"/>
  </sheetPr>
  <dimension ref="B2:K45"/>
  <sheetViews>
    <sheetView showGridLines="0" showRowColHeaders="0" workbookViewId="0" topLeftCell="A1">
      <selection activeCell="C8" sqref="C8"/>
    </sheetView>
  </sheetViews>
  <sheetFormatPr defaultColWidth="9.140625" defaultRowHeight="12" zeroHeight="1"/>
  <cols>
    <col min="1" max="1" width="0.5625" style="149" customWidth="1"/>
    <col min="2" max="2" width="1.1484375" style="149" customWidth="1"/>
    <col min="3" max="3" width="9.140625" style="149" customWidth="1"/>
    <col min="4" max="5" width="5.7109375" style="149" customWidth="1"/>
    <col min="6" max="6" width="10.00390625" style="149" bestFit="1" customWidth="1"/>
    <col min="7" max="8" width="5.7109375" style="149" customWidth="1"/>
    <col min="9" max="9" width="9.140625" style="149" customWidth="1"/>
    <col min="10" max="10" width="5.7109375" style="149" customWidth="1"/>
    <col min="11" max="11" width="1.1484375" style="149" customWidth="1"/>
    <col min="12" max="12" width="0.5625" style="149" customWidth="1"/>
    <col min="13" max="16384" width="0" style="149" hidden="1" customWidth="1"/>
  </cols>
  <sheetData>
    <row r="1" ht="3" customHeight="1" thickBot="1"/>
    <row r="2" spans="2:11" ht="6" customHeight="1" thickTop="1">
      <c r="B2" s="150"/>
      <c r="C2" s="151"/>
      <c r="D2" s="151"/>
      <c r="E2" s="151"/>
      <c r="F2" s="151"/>
      <c r="G2" s="151"/>
      <c r="H2" s="151"/>
      <c r="I2" s="151"/>
      <c r="J2" s="151"/>
      <c r="K2" s="152"/>
    </row>
    <row r="3" spans="2:11" ht="12" customHeight="1">
      <c r="B3" s="153"/>
      <c r="C3" s="485" t="s">
        <v>83</v>
      </c>
      <c r="D3" s="485"/>
      <c r="E3" s="485"/>
      <c r="F3" s="485"/>
      <c r="G3" s="485"/>
      <c r="H3" s="485"/>
      <c r="I3" s="485"/>
      <c r="J3" s="485"/>
      <c r="K3" s="154"/>
    </row>
    <row r="4" spans="2:11" ht="12" customHeight="1">
      <c r="B4" s="153"/>
      <c r="C4" s="249" t="s">
        <v>131</v>
      </c>
      <c r="E4" s="167"/>
      <c r="F4" s="167"/>
      <c r="G4" s="167"/>
      <c r="H4" s="167"/>
      <c r="J4" s="248" t="s">
        <v>132</v>
      </c>
      <c r="K4" s="154"/>
    </row>
    <row r="5" spans="2:11" ht="12">
      <c r="B5" s="153"/>
      <c r="C5" s="2"/>
      <c r="D5" s="2"/>
      <c r="E5" s="2"/>
      <c r="F5" s="2"/>
      <c r="G5" s="2"/>
      <c r="I5" s="2"/>
      <c r="J5" s="2"/>
      <c r="K5" s="154"/>
    </row>
    <row r="6" spans="2:11" ht="12.75" thickBot="1">
      <c r="B6" s="153"/>
      <c r="C6" s="515" t="s">
        <v>28</v>
      </c>
      <c r="D6" s="515"/>
      <c r="E6" s="95"/>
      <c r="F6" s="515" t="s">
        <v>29</v>
      </c>
      <c r="G6" s="515"/>
      <c r="H6" s="193"/>
      <c r="I6" s="515" t="s">
        <v>30</v>
      </c>
      <c r="J6" s="515"/>
      <c r="K6" s="154"/>
    </row>
    <row r="7" spans="2:11" ht="12">
      <c r="B7" s="153"/>
      <c r="C7" s="514" t="s">
        <v>31</v>
      </c>
      <c r="D7" s="514"/>
      <c r="E7" s="2"/>
      <c r="F7" s="514" t="s">
        <v>32</v>
      </c>
      <c r="G7" s="514"/>
      <c r="I7" s="514" t="s">
        <v>33</v>
      </c>
      <c r="J7" s="514"/>
      <c r="K7" s="154"/>
    </row>
    <row r="8" spans="2:11" ht="12">
      <c r="B8" s="153"/>
      <c r="C8" s="70">
        <v>10</v>
      </c>
      <c r="D8" s="70" t="s">
        <v>67</v>
      </c>
      <c r="E8" s="2"/>
      <c r="F8" s="70">
        <v>31</v>
      </c>
      <c r="G8" s="70" t="s">
        <v>40</v>
      </c>
      <c r="I8" s="2">
        <f>I34</f>
        <v>-26.254417185289213</v>
      </c>
      <c r="J8" s="70" t="s">
        <v>5</v>
      </c>
      <c r="K8" s="154"/>
    </row>
    <row r="9" spans="2:11" ht="12">
      <c r="B9" s="153"/>
      <c r="C9" s="514" t="s">
        <v>34</v>
      </c>
      <c r="D9" s="514"/>
      <c r="E9" s="2"/>
      <c r="F9" s="514" t="s">
        <v>35</v>
      </c>
      <c r="G9" s="514"/>
      <c r="I9" s="4"/>
      <c r="J9" s="2"/>
      <c r="K9" s="154"/>
    </row>
    <row r="10" spans="2:11" ht="12">
      <c r="B10" s="153"/>
      <c r="C10" s="70">
        <v>40</v>
      </c>
      <c r="D10" s="3" t="s">
        <v>36</v>
      </c>
      <c r="E10" s="2"/>
      <c r="F10" s="2">
        <f>IF(G8="N/A",0,20*LOG(4*PI()*F34/E45))</f>
        <v>136.2544171852892</v>
      </c>
      <c r="G10" s="2" t="s">
        <v>0</v>
      </c>
      <c r="I10" s="514" t="s">
        <v>34</v>
      </c>
      <c r="J10" s="514"/>
      <c r="K10" s="154"/>
    </row>
    <row r="11" spans="2:11" ht="12">
      <c r="B11" s="153"/>
      <c r="C11" s="514" t="s">
        <v>33</v>
      </c>
      <c r="D11" s="514"/>
      <c r="E11" s="2"/>
      <c r="F11" s="2"/>
      <c r="G11" s="2"/>
      <c r="I11" s="70">
        <v>45</v>
      </c>
      <c r="J11" s="2" t="s">
        <v>36</v>
      </c>
      <c r="K11" s="154"/>
    </row>
    <row r="12" spans="2:11" ht="12">
      <c r="B12" s="153"/>
      <c r="C12" s="3">
        <f>IF(ISERROR(C37),0,C37)</f>
        <v>100000</v>
      </c>
      <c r="D12" s="3" t="str">
        <f>D8</f>
        <v>kW</v>
      </c>
      <c r="E12" s="2"/>
      <c r="F12" s="2"/>
      <c r="G12" s="2"/>
      <c r="I12" s="514" t="s">
        <v>38</v>
      </c>
      <c r="J12" s="514"/>
      <c r="K12" s="154"/>
    </row>
    <row r="13" spans="2:11" ht="12">
      <c r="B13" s="153"/>
      <c r="C13" s="514" t="s">
        <v>8</v>
      </c>
      <c r="D13" s="514"/>
      <c r="E13" s="2"/>
      <c r="F13" s="2"/>
      <c r="G13" s="2"/>
      <c r="I13" s="70">
        <v>-5</v>
      </c>
      <c r="J13" s="2" t="s">
        <v>0</v>
      </c>
      <c r="K13" s="154"/>
    </row>
    <row r="14" spans="2:11" ht="12">
      <c r="B14" s="153"/>
      <c r="C14" s="71">
        <v>5</v>
      </c>
      <c r="D14" s="71" t="s">
        <v>46</v>
      </c>
      <c r="E14" s="2"/>
      <c r="F14" s="155"/>
      <c r="G14" s="155"/>
      <c r="I14" s="514" t="s">
        <v>39</v>
      </c>
      <c r="J14" s="514"/>
      <c r="K14" s="154"/>
    </row>
    <row r="15" spans="2:11" ht="12">
      <c r="B15" s="153"/>
      <c r="C15" s="514" t="s">
        <v>27</v>
      </c>
      <c r="D15" s="514"/>
      <c r="E15" s="2"/>
      <c r="F15" s="2"/>
      <c r="G15" s="2"/>
      <c r="I15" s="2">
        <f>I40</f>
        <v>13.745582814710787</v>
      </c>
      <c r="J15" s="2" t="str">
        <f>J8</f>
        <v>dBm</v>
      </c>
      <c r="K15" s="154"/>
    </row>
    <row r="16" spans="2:11" ht="12">
      <c r="B16" s="153"/>
      <c r="C16" s="2">
        <f>C45</f>
        <v>0.0599584916</v>
      </c>
      <c r="D16" s="70" t="s">
        <v>9</v>
      </c>
      <c r="E16" s="2"/>
      <c r="F16" s="2"/>
      <c r="G16" s="2"/>
      <c r="I16" s="2"/>
      <c r="J16" s="2"/>
      <c r="K16" s="154"/>
    </row>
    <row r="17" spans="2:11" ht="12">
      <c r="B17" s="153"/>
      <c r="C17" s="2"/>
      <c r="E17" s="2"/>
      <c r="F17" s="2"/>
      <c r="G17" s="2"/>
      <c r="I17" s="2"/>
      <c r="J17" s="2"/>
      <c r="K17" s="154"/>
    </row>
    <row r="18" spans="2:11" ht="12">
      <c r="B18" s="153"/>
      <c r="C18" s="80" t="str">
        <f>Home!$D$7&amp;", "&amp;Home!$D$8&amp;", "&amp;Home!$D$9</f>
        <v>RF Cafe Calculator Workbook, v6.0, by RF Cafe</v>
      </c>
      <c r="D18" s="2"/>
      <c r="E18" s="155"/>
      <c r="F18" s="155"/>
      <c r="G18" s="155"/>
      <c r="I18" s="155"/>
      <c r="J18" s="420" t="s">
        <v>197</v>
      </c>
      <c r="K18" s="154"/>
    </row>
    <row r="19" spans="2:11" s="173" customFormat="1" ht="6" customHeight="1" thickBot="1">
      <c r="B19" s="170"/>
      <c r="C19" s="74"/>
      <c r="D19" s="74"/>
      <c r="E19" s="159"/>
      <c r="F19" s="171"/>
      <c r="G19" s="159"/>
      <c r="H19" s="159"/>
      <c r="I19" s="159"/>
      <c r="J19" s="159"/>
      <c r="K19" s="172"/>
    </row>
    <row r="20" spans="5:9" s="173" customFormat="1" ht="3" customHeight="1" thickTop="1">
      <c r="E20" s="149"/>
      <c r="G20" s="149"/>
      <c r="H20" s="149"/>
      <c r="I20" s="149"/>
    </row>
    <row r="21" spans="5:9" s="173" customFormat="1" ht="12" customHeight="1" hidden="1">
      <c r="E21" s="149"/>
      <c r="G21" s="149"/>
      <c r="H21" s="149"/>
      <c r="I21" s="149"/>
    </row>
    <row r="22" spans="5:9" s="173" customFormat="1" ht="12" customHeight="1" hidden="1">
      <c r="E22" s="149"/>
      <c r="G22" s="149"/>
      <c r="H22" s="149"/>
      <c r="I22" s="149"/>
    </row>
    <row r="23" spans="3:10" s="173" customFormat="1" ht="12" hidden="1">
      <c r="C23" s="173" t="s">
        <v>46</v>
      </c>
      <c r="D23" s="173" t="s">
        <v>66</v>
      </c>
      <c r="E23" s="173" t="s">
        <v>86</v>
      </c>
      <c r="F23" s="173" t="s">
        <v>0</v>
      </c>
      <c r="H23" s="149"/>
      <c r="I23" s="149"/>
      <c r="J23" s="149"/>
    </row>
    <row r="24" spans="3:10" s="173" customFormat="1" ht="12" hidden="1">
      <c r="C24" s="173" t="s">
        <v>37</v>
      </c>
      <c r="D24" s="173" t="s">
        <v>67</v>
      </c>
      <c r="E24" s="173" t="s">
        <v>70</v>
      </c>
      <c r="F24" s="173" t="s">
        <v>86</v>
      </c>
      <c r="H24" s="149"/>
      <c r="I24" s="149"/>
      <c r="J24" s="149"/>
    </row>
    <row r="25" spans="3:8" s="173" customFormat="1" ht="12" hidden="1">
      <c r="C25" s="173" t="s">
        <v>47</v>
      </c>
      <c r="D25" s="173" t="s">
        <v>2</v>
      </c>
      <c r="E25" s="173" t="s">
        <v>71</v>
      </c>
      <c r="H25" s="149"/>
    </row>
    <row r="26" spans="3:8" s="173" customFormat="1" ht="12" hidden="1">
      <c r="C26" s="173" t="s">
        <v>65</v>
      </c>
      <c r="D26" s="173" t="s">
        <v>14</v>
      </c>
      <c r="E26" s="173" t="s">
        <v>41</v>
      </c>
      <c r="H26" s="149"/>
    </row>
    <row r="27" spans="4:8" s="173" customFormat="1" ht="12" hidden="1">
      <c r="D27" s="173" t="s">
        <v>68</v>
      </c>
      <c r="E27" s="173" t="s">
        <v>72</v>
      </c>
      <c r="H27" s="149"/>
    </row>
    <row r="28" spans="4:8" s="173" customFormat="1" ht="12" hidden="1">
      <c r="D28" s="173" t="s">
        <v>5</v>
      </c>
      <c r="E28" s="173" t="s">
        <v>73</v>
      </c>
      <c r="F28" s="174" t="s">
        <v>84</v>
      </c>
      <c r="H28" s="149"/>
    </row>
    <row r="29" spans="5:8" s="173" customFormat="1" ht="12" hidden="1">
      <c r="E29" s="173" t="s">
        <v>40</v>
      </c>
      <c r="F29" s="176" t="s">
        <v>85</v>
      </c>
      <c r="H29" s="149"/>
    </row>
    <row r="30" spans="5:8" s="173" customFormat="1" ht="12" hidden="1">
      <c r="E30" s="173" t="s">
        <v>9</v>
      </c>
      <c r="H30" s="149"/>
    </row>
    <row r="31" spans="5:8" s="173" customFormat="1" ht="12" hidden="1">
      <c r="E31" s="173" t="s">
        <v>74</v>
      </c>
      <c r="H31" s="149"/>
    </row>
    <row r="32" spans="5:8" s="173" customFormat="1" ht="12" hidden="1">
      <c r="E32" s="173" t="s">
        <v>69</v>
      </c>
      <c r="H32" s="149"/>
    </row>
    <row r="33" spans="3:10" s="173" customFormat="1" ht="12" hidden="1">
      <c r="C33" s="194" t="s">
        <v>75</v>
      </c>
      <c r="D33" s="195" t="s">
        <v>80</v>
      </c>
      <c r="E33" s="191"/>
      <c r="F33" s="196" t="s">
        <v>79</v>
      </c>
      <c r="G33" s="191"/>
      <c r="H33" s="149"/>
      <c r="I33" s="194" t="str">
        <f>"("&amp;J8&amp;")"</f>
        <v>(dBm)</v>
      </c>
      <c r="J33" s="195" t="s">
        <v>80</v>
      </c>
    </row>
    <row r="34" spans="3:10" s="173" customFormat="1" ht="12" hidden="1">
      <c r="C34" s="197">
        <f>IF(EXACT(D8,"MW"),C8*1000000,IF(D8="kW",C8*1000,IF(D8="W",C8*1,IF(EXACT(D8,"mW"),C8*0.001,IF(D8="dBW",10^(C8/10),10^(C8/10)/1000)))))</f>
        <v>10000</v>
      </c>
      <c r="D34" s="198">
        <f>10*LOG(C34)</f>
        <v>40</v>
      </c>
      <c r="E34" s="191"/>
      <c r="F34" s="199">
        <f>IF(G8="smi",F8/0.0006213711922,IF(G8="nmi",F8/0.0005399568035,IF(G8="ft",F8/3.280839895,IF(G8="in",F8/39.37007874,IF(G8="mil",F8/0.03937007874,IF(G8="km",F8*1000,IF(G8="m",F8,IF(G8="cm",F8/100,F8/1000))))))))</f>
        <v>31000</v>
      </c>
      <c r="G34" s="191"/>
      <c r="H34" s="149"/>
      <c r="I34" s="200">
        <f>IF(EXACT(J8,"MW"),I36/1000000,IF(J8="kW",I36/1000,IF(J8="W",I36*1,IF(EXACT(J8,"mW"),I36*1000,IF(J8="dBW",J34,J34+30)))))</f>
        <v>-26.254417185289213</v>
      </c>
      <c r="J34" s="201">
        <f>D37-F10</f>
        <v>-56.25441718528921</v>
      </c>
    </row>
    <row r="35" spans="3:10" s="173" customFormat="1" ht="12" hidden="1">
      <c r="C35" s="202"/>
      <c r="D35" s="202"/>
      <c r="E35" s="191"/>
      <c r="F35" s="191"/>
      <c r="G35" s="191"/>
      <c r="H35" s="149"/>
      <c r="I35" s="203" t="s">
        <v>76</v>
      </c>
      <c r="J35" s="204"/>
    </row>
    <row r="36" spans="3:10" s="173" customFormat="1" ht="12" hidden="1">
      <c r="C36" s="194" t="str">
        <f>"Ant Pwr ("&amp;D8&amp;")"</f>
        <v>Ant Pwr (kW)</v>
      </c>
      <c r="D36" s="195" t="s">
        <v>80</v>
      </c>
      <c r="E36" s="191"/>
      <c r="F36" s="191"/>
      <c r="G36" s="191"/>
      <c r="H36" s="149"/>
      <c r="I36" s="205">
        <f>10^(J34/10)</f>
        <v>2.36896302066324E-06</v>
      </c>
      <c r="J36" s="206"/>
    </row>
    <row r="37" spans="3:10" s="173" customFormat="1" ht="12" hidden="1">
      <c r="C37" s="200">
        <f>IF(EXACT(D8,"MW"),C39/1000000,IF(D8="kW",C39/1000,IF(D8="W",C39*1,IF(EXACT(D8,"mW"),C39*1000,IF(D8="dBW",D37,D37+30)))))</f>
        <v>100000</v>
      </c>
      <c r="D37" s="207">
        <f>D34+C10</f>
        <v>80</v>
      </c>
      <c r="E37" s="191"/>
      <c r="F37" s="191"/>
      <c r="H37" s="149"/>
      <c r="I37" s="191"/>
      <c r="J37" s="191"/>
    </row>
    <row r="38" spans="3:10" s="173" customFormat="1" ht="12" hidden="1">
      <c r="C38" s="203" t="s">
        <v>82</v>
      </c>
      <c r="D38" s="204"/>
      <c r="E38" s="191"/>
      <c r="F38" s="191"/>
      <c r="H38" s="149"/>
      <c r="I38" s="191"/>
      <c r="J38" s="191"/>
    </row>
    <row r="39" spans="3:10" ht="12" hidden="1">
      <c r="C39" s="208">
        <f>10^(D37/10)</f>
        <v>100000000</v>
      </c>
      <c r="D39" s="209"/>
      <c r="E39" s="191"/>
      <c r="F39" s="191"/>
      <c r="I39" s="194" t="str">
        <f>"("&amp;J15&amp;")"</f>
        <v>(dBm)</v>
      </c>
      <c r="J39" s="195" t="s">
        <v>80</v>
      </c>
    </row>
    <row r="40" spans="3:10" ht="12" hidden="1">
      <c r="C40" s="191"/>
      <c r="D40" s="191"/>
      <c r="E40" s="191"/>
      <c r="F40" s="191"/>
      <c r="I40" s="200">
        <f>IF(EXACT(J15,"MW"),I42/1000000,IF(J15="kW",I42/1000,IF(J15="W",I42*1,IF(EXACT(J15,"mW"),I42*0.001,IF(J15="dBW",J40,J40+30)))))</f>
        <v>13.745582814710787</v>
      </c>
      <c r="J40" s="201">
        <f>J34+I11+I13</f>
        <v>-16.254417185289213</v>
      </c>
    </row>
    <row r="41" spans="3:10" ht="12" hidden="1">
      <c r="C41" s="196" t="s">
        <v>77</v>
      </c>
      <c r="D41" s="191"/>
      <c r="E41" s="155"/>
      <c r="F41" s="155"/>
      <c r="G41" s="155"/>
      <c r="I41" s="210" t="s">
        <v>81</v>
      </c>
      <c r="J41" s="211"/>
    </row>
    <row r="42" spans="3:10" ht="12" hidden="1">
      <c r="C42" s="212">
        <f>IF(D14="GHz",C14*1000000000,IF(D14="MHz",C14*1000000,IF(D14="kHz",C14*1000,C14)))</f>
        <v>5000000000</v>
      </c>
      <c r="D42" s="191"/>
      <c r="E42" s="155"/>
      <c r="F42" s="155"/>
      <c r="G42" s="155"/>
      <c r="I42" s="213">
        <f>10^(J40/10)</f>
        <v>0.023689630206632402</v>
      </c>
      <c r="J42" s="209"/>
    </row>
    <row r="43" spans="3:10" ht="12" hidden="1">
      <c r="C43" s="155"/>
      <c r="D43" s="155"/>
      <c r="E43" s="155"/>
      <c r="F43" s="155"/>
      <c r="G43" s="155"/>
      <c r="I43" s="191"/>
      <c r="J43" s="191"/>
    </row>
    <row r="44" spans="3:10" ht="12" hidden="1">
      <c r="C44" s="194" t="str">
        <f>"Wavelength ("&amp;D16&amp;")"</f>
        <v>Wavelength (m)</v>
      </c>
      <c r="D44" s="214"/>
      <c r="E44" s="195" t="s">
        <v>78</v>
      </c>
      <c r="F44" s="155"/>
      <c r="G44" s="155"/>
      <c r="I44" s="191"/>
      <c r="J44" s="191"/>
    </row>
    <row r="45" spans="3:10" ht="12" hidden="1">
      <c r="C45" s="215">
        <f>IF(D16="smi",E45*0.0006213711922,IF(D16="nmi",E45*0.0005399568035,IF(D16="ft",E45*3.280839895,IF(D16="in",E45*39.37007874,IF(D16="mil",E45*0.03937007874,IF(D16="km",E45/1000,IF(D16="m",E45,IF(D16="cm",E45*100,E45*1000))))))))</f>
        <v>0.0599584916</v>
      </c>
      <c r="D45" s="216"/>
      <c r="E45" s="217">
        <f>2.99792458*10^8/C42</f>
        <v>0.0599584916</v>
      </c>
      <c r="I45" s="173"/>
      <c r="J45" s="173"/>
    </row>
    <row r="46" ht="12" hidden="1"/>
  </sheetData>
  <sheetProtection password="F39F" sheet="1" objects="1" scenarios="1"/>
  <mergeCells count="15">
    <mergeCell ref="C11:D11"/>
    <mergeCell ref="F9:G9"/>
    <mergeCell ref="C15:D15"/>
    <mergeCell ref="C13:D13"/>
    <mergeCell ref="C9:D9"/>
    <mergeCell ref="C3:J3"/>
    <mergeCell ref="I14:J14"/>
    <mergeCell ref="I6:J6"/>
    <mergeCell ref="I7:J7"/>
    <mergeCell ref="I10:J10"/>
    <mergeCell ref="I12:J12"/>
    <mergeCell ref="F6:G6"/>
    <mergeCell ref="C7:D7"/>
    <mergeCell ref="F7:G7"/>
    <mergeCell ref="C6:D6"/>
  </mergeCells>
  <conditionalFormatting sqref="C8">
    <cfRule type="expression" priority="1" dxfId="1" stopIfTrue="1">
      <formula>AND($C$8&lt;=0,OR(D8="mW",D8="W",D8="kW",D8="MW"))</formula>
    </cfRule>
  </conditionalFormatting>
  <conditionalFormatting sqref="C12">
    <cfRule type="expression" priority="2" dxfId="1" stopIfTrue="1">
      <formula>AND($C$8&lt;=0,OR(D8="mW",D8="W",D8="kW",D8="MW"))</formula>
    </cfRule>
  </conditionalFormatting>
  <conditionalFormatting sqref="F10">
    <cfRule type="cellIs" priority="3" dxfId="2" operator="lessThan" stopIfTrue="1">
      <formula>-0.001</formula>
    </cfRule>
  </conditionalFormatting>
  <conditionalFormatting sqref="I8">
    <cfRule type="expression" priority="4" dxfId="1" stopIfTrue="1">
      <formula>ISERROR($I$8)</formula>
    </cfRule>
  </conditionalFormatting>
  <conditionalFormatting sqref="I15">
    <cfRule type="expression" priority="5" dxfId="1" stopIfTrue="1">
      <formula>ISERROR($I$15)</formula>
    </cfRule>
  </conditionalFormatting>
  <dataValidations count="9">
    <dataValidation type="custom" showInputMessage="1" showErrorMessage="1" error="Power in watts must be greater &gt;= 0" sqref="C8">
      <formula1>OR(D8="dBm",D8="dBW",AND($C$8&gt;0,OR(D8="mW",D8="W",D8="kW",D8="MW")))</formula1>
    </dataValidation>
    <dataValidation type="list" showInputMessage="1" showErrorMessage="1" sqref="D14">
      <formula1>$C$23:$C$26</formula1>
    </dataValidation>
    <dataValidation showInputMessage="1" showErrorMessage="1" error="Please choose from dropdown list" sqref="J15:J17"/>
    <dataValidation type="list" showInputMessage="1" showErrorMessage="1" error="Please choose from dropdown list" sqref="D8 J8">
      <formula1>$D$23:$D$28</formula1>
    </dataValidation>
    <dataValidation type="list" showInputMessage="1" showErrorMessage="1" error="Please choose from dropdown list" sqref="D16">
      <formula1>$E$23:$E$31</formula1>
    </dataValidation>
    <dataValidation type="whole" operator="greaterThanOrEqual" allowBlank="1" showInputMessage="1" showErrorMessage="1" error="Invalid distance - use minimum of 1/10 wavelength" sqref="F10">
      <formula1>0</formula1>
    </dataValidation>
    <dataValidation type="list" showInputMessage="1" showErrorMessage="1" error="Please choose from dropdown list" sqref="G8">
      <formula1>$E$23:$E$32</formula1>
    </dataValidation>
    <dataValidation operator="greaterThanOrEqual" showInputMessage="1" showErrorMessage="1" error="Must be &gt;= 0" sqref="I13 I11"/>
    <dataValidation type="decimal" operator="greaterThan" allowBlank="1" showInputMessage="1" showErrorMessage="1" sqref="C14">
      <formula1>0</formula1>
    </dataValidation>
  </dataValidations>
  <hyperlinks>
    <hyperlink ref="C4" r:id="rId1" display="Click here for the online version"/>
    <hyperlink ref="J4" r:id="rId2" tooltip="Click here to check for updates to this calculator" display="Click here to check for Updates"/>
    <hyperlink ref="J18" location="Home!D7" tooltip="Click to return to title page with calculator list" display="Home"/>
  </hyperlinks>
  <printOptions/>
  <pageMargins left="0.5" right="0.5" top="0.5" bottom="0.5" header="0.5" footer="0.5"/>
  <pageSetup fitToHeight="1" fitToWidth="1" horizontalDpi="600" verticalDpi="600" orientation="portrait" r:id="rId6"/>
  <drawing r:id="rId5"/>
  <legacyDrawing r:id="rId4"/>
</worksheet>
</file>

<file path=xl/worksheets/sheet12.xml><?xml version="1.0" encoding="utf-8"?>
<worksheet xmlns="http://schemas.openxmlformats.org/spreadsheetml/2006/main" xmlns:r="http://schemas.openxmlformats.org/officeDocument/2006/relationships">
  <sheetPr codeName="Sheet17">
    <pageSetUpPr fitToPage="1"/>
  </sheetPr>
  <dimension ref="B2:N45"/>
  <sheetViews>
    <sheetView showGridLines="0" showRowColHeaders="0" workbookViewId="0" topLeftCell="A1">
      <selection activeCell="C8" sqref="C8"/>
    </sheetView>
  </sheetViews>
  <sheetFormatPr defaultColWidth="9.140625" defaultRowHeight="12" zeroHeight="1"/>
  <cols>
    <col min="1" max="1" width="0.5625" style="149" customWidth="1"/>
    <col min="2" max="2" width="1.1484375" style="149" customWidth="1"/>
    <col min="3" max="3" width="9.140625" style="149" customWidth="1"/>
    <col min="4" max="5" width="5.7109375" style="149" customWidth="1"/>
    <col min="6" max="6" width="10.00390625" style="149" bestFit="1" customWidth="1"/>
    <col min="7" max="8" width="5.7109375" style="149" customWidth="1"/>
    <col min="9" max="9" width="9.140625" style="149" customWidth="1"/>
    <col min="10" max="11" width="5.7109375" style="149" customWidth="1"/>
    <col min="12" max="12" width="9.140625" style="149" customWidth="1"/>
    <col min="13" max="13" width="5.7109375" style="149" customWidth="1"/>
    <col min="14" max="14" width="1.1484375" style="149" customWidth="1"/>
    <col min="15" max="15" width="0.5625" style="149" customWidth="1"/>
    <col min="16" max="16384" width="0" style="149" hidden="1" customWidth="1"/>
  </cols>
  <sheetData>
    <row r="1" ht="3" customHeight="1" thickBot="1"/>
    <row r="2" spans="2:14" ht="6" customHeight="1" thickTop="1">
      <c r="B2" s="150"/>
      <c r="C2" s="151"/>
      <c r="D2" s="151"/>
      <c r="E2" s="151"/>
      <c r="F2" s="151"/>
      <c r="G2" s="151"/>
      <c r="H2" s="151"/>
      <c r="I2" s="151"/>
      <c r="J2" s="151"/>
      <c r="K2" s="151"/>
      <c r="L2" s="151"/>
      <c r="M2" s="151"/>
      <c r="N2" s="152"/>
    </row>
    <row r="3" spans="2:14" ht="12" customHeight="1">
      <c r="B3" s="153"/>
      <c r="C3" s="485" t="s">
        <v>90</v>
      </c>
      <c r="D3" s="485"/>
      <c r="E3" s="485"/>
      <c r="F3" s="485"/>
      <c r="G3" s="485"/>
      <c r="H3" s="485"/>
      <c r="I3" s="485"/>
      <c r="J3" s="485"/>
      <c r="K3" s="485"/>
      <c r="L3" s="485"/>
      <c r="M3" s="485"/>
      <c r="N3" s="154"/>
    </row>
    <row r="4" spans="2:14" ht="12" customHeight="1">
      <c r="B4" s="153"/>
      <c r="C4" s="249" t="s">
        <v>131</v>
      </c>
      <c r="D4" s="167"/>
      <c r="F4" s="167"/>
      <c r="G4" s="167"/>
      <c r="H4" s="167"/>
      <c r="I4" s="167"/>
      <c r="L4" s="167"/>
      <c r="M4" s="248" t="s">
        <v>132</v>
      </c>
      <c r="N4" s="154"/>
    </row>
    <row r="5" spans="2:14" ht="12">
      <c r="B5" s="153"/>
      <c r="C5" s="5"/>
      <c r="D5" s="5"/>
      <c r="E5" s="5"/>
      <c r="F5" s="5"/>
      <c r="G5" s="5"/>
      <c r="H5" s="5"/>
      <c r="I5" s="5"/>
      <c r="J5" s="5"/>
      <c r="K5" s="5"/>
      <c r="L5" s="155"/>
      <c r="M5" s="155"/>
      <c r="N5" s="154"/>
    </row>
    <row r="6" spans="2:14" s="220" customFormat="1" ht="12.75" thickBot="1">
      <c r="B6" s="218"/>
      <c r="C6" s="516" t="s">
        <v>28</v>
      </c>
      <c r="D6" s="516"/>
      <c r="E6" s="94"/>
      <c r="F6" s="516" t="s">
        <v>29</v>
      </c>
      <c r="G6" s="516"/>
      <c r="H6" s="94"/>
      <c r="I6" s="516" t="s">
        <v>43</v>
      </c>
      <c r="J6" s="516"/>
      <c r="K6" s="96"/>
      <c r="L6" s="516" t="s">
        <v>30</v>
      </c>
      <c r="M6" s="516"/>
      <c r="N6" s="219"/>
    </row>
    <row r="7" spans="2:14" ht="12">
      <c r="B7" s="153"/>
      <c r="C7" s="514" t="s">
        <v>31</v>
      </c>
      <c r="D7" s="514"/>
      <c r="E7" s="5"/>
      <c r="F7" s="514" t="s">
        <v>42</v>
      </c>
      <c r="G7" s="514"/>
      <c r="H7" s="5"/>
      <c r="I7" s="514" t="s">
        <v>44</v>
      </c>
      <c r="J7" s="514"/>
      <c r="K7" s="75"/>
      <c r="L7" s="514" t="s">
        <v>33</v>
      </c>
      <c r="M7" s="514"/>
      <c r="N7" s="154"/>
    </row>
    <row r="8" spans="2:14" ht="12">
      <c r="B8" s="153"/>
      <c r="C8" s="76">
        <v>10</v>
      </c>
      <c r="D8" s="76" t="s">
        <v>67</v>
      </c>
      <c r="E8" s="5"/>
      <c r="F8" s="76">
        <v>31</v>
      </c>
      <c r="G8" s="76" t="s">
        <v>40</v>
      </c>
      <c r="H8" s="5"/>
      <c r="I8" s="5">
        <f>I34</f>
        <v>-26.254417185289213</v>
      </c>
      <c r="J8" s="76" t="s">
        <v>5</v>
      </c>
      <c r="K8" s="5"/>
      <c r="L8" s="5">
        <f>L34</f>
        <v>-117.53132460780239</v>
      </c>
      <c r="M8" s="76" t="s">
        <v>5</v>
      </c>
      <c r="N8" s="154"/>
    </row>
    <row r="9" spans="2:14" ht="12">
      <c r="B9" s="153"/>
      <c r="C9" s="514" t="s">
        <v>34</v>
      </c>
      <c r="D9" s="514"/>
      <c r="E9" s="5"/>
      <c r="F9" s="514" t="s">
        <v>35</v>
      </c>
      <c r="G9" s="514"/>
      <c r="H9" s="5"/>
      <c r="I9" s="77"/>
      <c r="J9" s="5"/>
      <c r="K9" s="5"/>
      <c r="L9" s="77"/>
      <c r="M9" s="5"/>
      <c r="N9" s="154"/>
    </row>
    <row r="10" spans="2:14" ht="12.75">
      <c r="B10" s="153"/>
      <c r="C10" s="76">
        <v>40</v>
      </c>
      <c r="D10" s="3" t="s">
        <v>36</v>
      </c>
      <c r="E10" s="5"/>
      <c r="F10" s="514" t="s">
        <v>91</v>
      </c>
      <c r="G10" s="514"/>
      <c r="H10" s="5"/>
      <c r="I10" s="517" t="s">
        <v>45</v>
      </c>
      <c r="J10" s="517"/>
      <c r="K10" s="75"/>
      <c r="L10" s="514" t="s">
        <v>34</v>
      </c>
      <c r="M10" s="514"/>
      <c r="N10" s="154"/>
    </row>
    <row r="11" spans="2:14" ht="13.5">
      <c r="B11" s="153"/>
      <c r="C11" s="514" t="s">
        <v>33</v>
      </c>
      <c r="D11" s="514"/>
      <c r="E11" s="5"/>
      <c r="F11" s="5">
        <f>IF(G8="N/A",0,20*LOG(4*PI()*F34/E45))</f>
        <v>136.2544171852892</v>
      </c>
      <c r="G11" s="5" t="s">
        <v>0</v>
      </c>
      <c r="H11" s="5"/>
      <c r="I11" s="76">
        <v>9</v>
      </c>
      <c r="J11" s="5" t="s">
        <v>87</v>
      </c>
      <c r="K11" s="5"/>
      <c r="L11" s="76">
        <v>45</v>
      </c>
      <c r="M11" s="5" t="s">
        <v>36</v>
      </c>
      <c r="N11" s="154"/>
    </row>
    <row r="12" spans="2:14" ht="12">
      <c r="B12" s="153"/>
      <c r="C12" s="3">
        <f>IF(ISERROR(C37),0,C37)</f>
        <v>100000</v>
      </c>
      <c r="D12" s="3" t="str">
        <f>D8</f>
        <v>kW</v>
      </c>
      <c r="E12" s="5"/>
      <c r="F12" s="5"/>
      <c r="G12" s="5"/>
      <c r="H12" s="5"/>
      <c r="I12" s="514" t="s">
        <v>88</v>
      </c>
      <c r="J12" s="514"/>
      <c r="K12" s="75"/>
      <c r="L12" s="514" t="s">
        <v>38</v>
      </c>
      <c r="M12" s="514"/>
      <c r="N12" s="154"/>
    </row>
    <row r="13" spans="2:14" ht="12">
      <c r="B13" s="153"/>
      <c r="C13" s="514" t="s">
        <v>8</v>
      </c>
      <c r="D13" s="514"/>
      <c r="E13" s="5"/>
      <c r="F13" s="5"/>
      <c r="G13" s="5"/>
      <c r="H13" s="5"/>
      <c r="I13" s="5">
        <f>10*LOG(4*PI()*I11/E45^2)</f>
        <v>44.97750976277604</v>
      </c>
      <c r="J13" s="5" t="s">
        <v>0</v>
      </c>
      <c r="K13" s="5"/>
      <c r="L13" s="76">
        <v>-5</v>
      </c>
      <c r="M13" s="5" t="s">
        <v>0</v>
      </c>
      <c r="N13" s="154"/>
    </row>
    <row r="14" spans="2:14" ht="12">
      <c r="B14" s="153"/>
      <c r="C14" s="71">
        <v>5</v>
      </c>
      <c r="D14" s="71" t="s">
        <v>46</v>
      </c>
      <c r="E14" s="5"/>
      <c r="F14" s="155"/>
      <c r="G14" s="155"/>
      <c r="H14" s="5"/>
      <c r="I14" s="5"/>
      <c r="J14" s="5"/>
      <c r="K14" s="75"/>
      <c r="L14" s="514" t="s">
        <v>39</v>
      </c>
      <c r="M14" s="514"/>
      <c r="N14" s="154"/>
    </row>
    <row r="15" spans="2:14" ht="12">
      <c r="B15" s="153"/>
      <c r="C15" s="514" t="s">
        <v>27</v>
      </c>
      <c r="D15" s="514"/>
      <c r="E15" s="5"/>
      <c r="F15" s="5"/>
      <c r="G15" s="5"/>
      <c r="H15" s="5"/>
      <c r="I15" s="5"/>
      <c r="J15" s="5"/>
      <c r="K15" s="5"/>
      <c r="L15" s="5">
        <f>L40</f>
        <v>-77.53132460780239</v>
      </c>
      <c r="M15" s="5" t="str">
        <f>M8</f>
        <v>dBm</v>
      </c>
      <c r="N15" s="154"/>
    </row>
    <row r="16" spans="2:14" ht="12">
      <c r="B16" s="153"/>
      <c r="C16" s="5">
        <f>C45</f>
        <v>0.0599584916</v>
      </c>
      <c r="D16" s="76" t="s">
        <v>9</v>
      </c>
      <c r="E16" s="5"/>
      <c r="F16" s="5"/>
      <c r="G16" s="5"/>
      <c r="H16" s="5"/>
      <c r="I16" s="5"/>
      <c r="J16" s="5"/>
      <c r="K16" s="5"/>
      <c r="L16" s="155"/>
      <c r="M16" s="155"/>
      <c r="N16" s="154"/>
    </row>
    <row r="17" spans="2:14" ht="12">
      <c r="B17" s="153"/>
      <c r="C17" s="5"/>
      <c r="E17" s="5"/>
      <c r="F17" s="5"/>
      <c r="G17" s="5"/>
      <c r="H17" s="5"/>
      <c r="I17" s="5"/>
      <c r="J17" s="5"/>
      <c r="K17" s="5"/>
      <c r="L17" s="155"/>
      <c r="M17" s="69"/>
      <c r="N17" s="154"/>
    </row>
    <row r="18" spans="2:14" ht="12">
      <c r="B18" s="153"/>
      <c r="C18" s="80" t="str">
        <f>Home!$D$7&amp;", "&amp;Home!$D$8&amp;", "&amp;Home!$D$9</f>
        <v>RF Cafe Calculator Workbook, v6.0, by RF Cafe</v>
      </c>
      <c r="D18" s="2"/>
      <c r="E18" s="155"/>
      <c r="F18" s="155"/>
      <c r="G18" s="155"/>
      <c r="L18" s="155"/>
      <c r="M18" s="420" t="s">
        <v>197</v>
      </c>
      <c r="N18" s="154"/>
    </row>
    <row r="19" spans="2:14" s="173" customFormat="1" ht="6" customHeight="1" thickBot="1">
      <c r="B19" s="170"/>
      <c r="C19" s="74"/>
      <c r="D19" s="74"/>
      <c r="E19" s="159"/>
      <c r="F19" s="171"/>
      <c r="G19" s="159"/>
      <c r="H19" s="171"/>
      <c r="I19" s="159"/>
      <c r="J19" s="159"/>
      <c r="K19" s="159"/>
      <c r="L19" s="171"/>
      <c r="M19" s="171"/>
      <c r="N19" s="172"/>
    </row>
    <row r="20" spans="5:9" s="173" customFormat="1" ht="3" customHeight="1" thickTop="1">
      <c r="E20" s="149"/>
      <c r="G20" s="149"/>
      <c r="I20" s="149"/>
    </row>
    <row r="21" spans="5:9" s="173" customFormat="1" ht="12" customHeight="1" hidden="1">
      <c r="E21" s="149"/>
      <c r="G21" s="149"/>
      <c r="I21" s="149"/>
    </row>
    <row r="22" spans="5:9" s="173" customFormat="1" ht="12" customHeight="1" hidden="1">
      <c r="E22" s="149"/>
      <c r="G22" s="149"/>
      <c r="I22" s="149"/>
    </row>
    <row r="23" spans="3:11" s="173" customFormat="1" ht="12" hidden="1">
      <c r="C23" s="173" t="s">
        <v>46</v>
      </c>
      <c r="D23" s="173" t="s">
        <v>66</v>
      </c>
      <c r="E23" s="173" t="s">
        <v>86</v>
      </c>
      <c r="F23" s="173" t="s">
        <v>0</v>
      </c>
      <c r="I23" s="149"/>
      <c r="J23" s="149"/>
      <c r="K23" s="149"/>
    </row>
    <row r="24" spans="3:11" s="173" customFormat="1" ht="12" hidden="1">
      <c r="C24" s="173" t="s">
        <v>37</v>
      </c>
      <c r="D24" s="173" t="s">
        <v>67</v>
      </c>
      <c r="E24" s="173" t="s">
        <v>70</v>
      </c>
      <c r="F24" s="173" t="s">
        <v>86</v>
      </c>
      <c r="I24" s="149"/>
      <c r="J24" s="149"/>
      <c r="K24" s="149"/>
    </row>
    <row r="25" spans="3:5" s="173" customFormat="1" ht="11.25" hidden="1">
      <c r="C25" s="173" t="s">
        <v>47</v>
      </c>
      <c r="D25" s="173" t="s">
        <v>2</v>
      </c>
      <c r="E25" s="173" t="s">
        <v>71</v>
      </c>
    </row>
    <row r="26" spans="3:5" s="173" customFormat="1" ht="11.25" hidden="1">
      <c r="C26" s="173" t="s">
        <v>65</v>
      </c>
      <c r="D26" s="173" t="s">
        <v>14</v>
      </c>
      <c r="E26" s="173" t="s">
        <v>41</v>
      </c>
    </row>
    <row r="27" spans="4:5" s="173" customFormat="1" ht="11.25" hidden="1">
      <c r="D27" s="173" t="s">
        <v>68</v>
      </c>
      <c r="E27" s="173" t="s">
        <v>72</v>
      </c>
    </row>
    <row r="28" spans="4:6" s="173" customFormat="1" ht="11.25" hidden="1">
      <c r="D28" s="173" t="s">
        <v>5</v>
      </c>
      <c r="E28" s="173" t="s">
        <v>73</v>
      </c>
      <c r="F28" s="174" t="s">
        <v>84</v>
      </c>
    </row>
    <row r="29" spans="5:6" s="173" customFormat="1" ht="11.25" hidden="1">
      <c r="E29" s="173" t="s">
        <v>40</v>
      </c>
      <c r="F29" s="176" t="s">
        <v>85</v>
      </c>
    </row>
    <row r="30" s="173" customFormat="1" ht="11.25" hidden="1">
      <c r="E30" s="173" t="s">
        <v>9</v>
      </c>
    </row>
    <row r="31" s="173" customFormat="1" ht="11.25" hidden="1">
      <c r="E31" s="173" t="s">
        <v>74</v>
      </c>
    </row>
    <row r="32" s="173" customFormat="1" ht="11.25" hidden="1">
      <c r="E32" s="173" t="s">
        <v>69</v>
      </c>
    </row>
    <row r="33" spans="3:13" s="175" customFormat="1" ht="11.25" hidden="1">
      <c r="C33" s="221" t="s">
        <v>75</v>
      </c>
      <c r="D33" s="222" t="s">
        <v>80</v>
      </c>
      <c r="E33" s="223"/>
      <c r="F33" s="224" t="s">
        <v>79</v>
      </c>
      <c r="G33" s="223"/>
      <c r="H33" s="223"/>
      <c r="I33" s="221" t="str">
        <f>"("&amp;J8&amp;")"</f>
        <v>(dBm)</v>
      </c>
      <c r="J33" s="222" t="s">
        <v>80</v>
      </c>
      <c r="K33" s="225"/>
      <c r="L33" s="221" t="str">
        <f>"("&amp;M8&amp;")"</f>
        <v>(dBm)</v>
      </c>
      <c r="M33" s="222" t="s">
        <v>80</v>
      </c>
    </row>
    <row r="34" spans="3:13" s="175" customFormat="1" ht="11.25" hidden="1">
      <c r="C34" s="226">
        <f>IF(EXACT(D8,"MW"),C8*1000000,IF(D8="kW",C8*1000,IF(D8="W",C8*1,IF(EXACT(D8,"mW"),C8/1000,IF(D8="dBW",10^(C8/10),10^(C8/10)/1000)))))</f>
        <v>10000</v>
      </c>
      <c r="D34" s="227">
        <f>10*LOG(C34)</f>
        <v>40</v>
      </c>
      <c r="E34" s="223"/>
      <c r="F34" s="228">
        <f>IF(G8="smi",F8/0.0006213711922,IF(G8="nmi",F8/0.0005399568035,IF(G8="ft",F8/3.280839895,IF(G8="in",F8/39.37007874,IF(G8="mil",F8/0.03937007874,IF(G8="km",F8*1000,IF(G8="m",F8,IF(G8="cm",F8/100,F8/1000))))))))</f>
        <v>31000</v>
      </c>
      <c r="G34" s="223"/>
      <c r="H34" s="223"/>
      <c r="I34" s="229">
        <f>IF(EXACT(J8,"MW"),I36/1000000,IF(J8="kW",I36/1000,IF(J8="W",I36*1,IF(EXACT(J8,"mW"),I36*0.001,IF(J8="dBW",J34,J34+30)))))</f>
        <v>-26.254417185289213</v>
      </c>
      <c r="J34" s="230">
        <f>D37-F11</f>
        <v>-56.25441718528921</v>
      </c>
      <c r="K34" s="231"/>
      <c r="L34" s="229">
        <f>IF(EXACT(M8,"MW"),L36/1000000,IF(M8="kW",L36/1000,IF(M8="W",L36*1,IF(EXACT(M8,"mW"),L36*1000,IF(M8="dBW",M34,M34+30)))))</f>
        <v>-117.53132460780239</v>
      </c>
      <c r="M34" s="232">
        <f>J34+I13-F11</f>
        <v>-147.5313246078024</v>
      </c>
    </row>
    <row r="35" spans="3:13" s="175" customFormat="1" ht="11.25" hidden="1">
      <c r="C35" s="233"/>
      <c r="D35" s="233"/>
      <c r="E35" s="223"/>
      <c r="F35" s="223"/>
      <c r="G35" s="223"/>
      <c r="H35" s="223"/>
      <c r="I35" s="234" t="s">
        <v>89</v>
      </c>
      <c r="J35" s="235"/>
      <c r="K35" s="236"/>
      <c r="L35" s="234" t="s">
        <v>89</v>
      </c>
      <c r="M35" s="235"/>
    </row>
    <row r="36" spans="3:13" s="175" customFormat="1" ht="11.25" hidden="1">
      <c r="C36" s="221" t="str">
        <f>"Ant Pwr ("&amp;D8&amp;")"</f>
        <v>Ant Pwr (kW)</v>
      </c>
      <c r="D36" s="222" t="s">
        <v>80</v>
      </c>
      <c r="E36" s="223"/>
      <c r="F36" s="223"/>
      <c r="G36" s="223"/>
      <c r="H36" s="223"/>
      <c r="I36" s="237">
        <f>10^(J34/10)</f>
        <v>2.36896302066324E-06</v>
      </c>
      <c r="J36" s="238"/>
      <c r="K36" s="236"/>
      <c r="L36" s="237">
        <f>10^(M34/10)</f>
        <v>1.765499257369476E-15</v>
      </c>
      <c r="M36" s="238"/>
    </row>
    <row r="37" spans="3:11" s="175" customFormat="1" ht="11.25" hidden="1">
      <c r="C37" s="229">
        <f>IF(EXACT(D8,"MW"),C39/1000000,IF(D8="kW",C39/1000,IF(D8="W",C39*1,IF(EXACT(D8,"mW"),C39*1000,IF(D8="dBW",D37,D37+30)))))</f>
        <v>100000</v>
      </c>
      <c r="D37" s="239">
        <f>D34+C10</f>
        <v>80</v>
      </c>
      <c r="E37" s="223"/>
      <c r="F37" s="223"/>
      <c r="H37" s="223"/>
      <c r="I37" s="223"/>
      <c r="J37" s="223"/>
      <c r="K37" s="236"/>
    </row>
    <row r="38" spans="3:11" s="175" customFormat="1" ht="11.25" hidden="1">
      <c r="C38" s="234" t="s">
        <v>82</v>
      </c>
      <c r="D38" s="235"/>
      <c r="E38" s="223"/>
      <c r="F38" s="223"/>
      <c r="H38" s="223"/>
      <c r="I38" s="223"/>
      <c r="J38" s="223"/>
      <c r="K38" s="236"/>
    </row>
    <row r="39" spans="3:13" s="175" customFormat="1" ht="11.25" hidden="1">
      <c r="C39" s="240">
        <f>10^(D37/10)</f>
        <v>100000000</v>
      </c>
      <c r="D39" s="238"/>
      <c r="E39" s="223"/>
      <c r="F39" s="223"/>
      <c r="H39" s="223"/>
      <c r="K39" s="225"/>
      <c r="L39" s="221" t="str">
        <f>"("&amp;M15&amp;")"</f>
        <v>(dBm)</v>
      </c>
      <c r="M39" s="222" t="s">
        <v>80</v>
      </c>
    </row>
    <row r="40" spans="3:13" s="175" customFormat="1" ht="11.25" hidden="1">
      <c r="C40" s="223"/>
      <c r="D40" s="223"/>
      <c r="E40" s="223"/>
      <c r="F40" s="223"/>
      <c r="H40" s="223"/>
      <c r="K40" s="231"/>
      <c r="L40" s="229">
        <f>IF(EXACT(M15,"MW"),L42/1000000,IF(M15="kW",L42/1000,IF(M15="W",L42*1,IF(EXACT(M15,"mW"),L42*0.001,IF(M15="dBW",M40,M40+30)))))</f>
        <v>-77.53132460780239</v>
      </c>
      <c r="M40" s="230">
        <f>M34+L11+L13</f>
        <v>-107.53132460780239</v>
      </c>
    </row>
    <row r="41" spans="3:13" s="175" customFormat="1" ht="11.25" hidden="1">
      <c r="C41" s="224" t="s">
        <v>77</v>
      </c>
      <c r="D41" s="223"/>
      <c r="E41" s="223"/>
      <c r="F41" s="223"/>
      <c r="G41" s="223"/>
      <c r="H41" s="223"/>
      <c r="K41" s="223"/>
      <c r="L41" s="241" t="s">
        <v>81</v>
      </c>
      <c r="M41" s="235"/>
    </row>
    <row r="42" spans="3:13" s="175" customFormat="1" ht="11.25" hidden="1">
      <c r="C42" s="242">
        <f>IF(D14="GHz",C14*1000000000,IF(D14="MHz",C14*1000000,IF(D14="kHz",C14*1000,C14)))</f>
        <v>5000000000</v>
      </c>
      <c r="D42" s="223"/>
      <c r="E42" s="223"/>
      <c r="F42" s="223"/>
      <c r="G42" s="223"/>
      <c r="H42" s="223"/>
      <c r="K42" s="223"/>
      <c r="L42" s="243">
        <f>10^(M40/10)</f>
        <v>1.7654992573694837E-11</v>
      </c>
      <c r="M42" s="238"/>
    </row>
    <row r="43" spans="3:11" s="175" customFormat="1" ht="11.25" hidden="1">
      <c r="C43" s="223"/>
      <c r="D43" s="223"/>
      <c r="E43" s="223"/>
      <c r="F43" s="223"/>
      <c r="G43" s="223"/>
      <c r="H43" s="223"/>
      <c r="I43" s="223"/>
      <c r="J43" s="223"/>
      <c r="K43" s="223"/>
    </row>
    <row r="44" spans="3:11" s="175" customFormat="1" ht="11.25" hidden="1">
      <c r="C44" s="221" t="str">
        <f>"Wavelength ("&amp;D16&amp;")"</f>
        <v>Wavelength (m)</v>
      </c>
      <c r="D44" s="244"/>
      <c r="E44" s="222" t="s">
        <v>78</v>
      </c>
      <c r="F44" s="223"/>
      <c r="G44" s="223"/>
      <c r="H44" s="223"/>
      <c r="I44" s="223"/>
      <c r="J44" s="223"/>
      <c r="K44" s="223"/>
    </row>
    <row r="45" spans="3:5" s="175" customFormat="1" ht="11.25" hidden="1">
      <c r="C45" s="226">
        <f>IF(D16="smi",E45*0.0006213711922,IF(D16="nmi",E45*0.0005399568035,IF(D16="ft",E45*3.280839895,IF(D16="in",E45*39.37007874,IF(D16="mil",E45*0.03937007874,IF(D16="km",E45/1000,IF(D16="m",E45,IF(D16="cm",E45*100,E45*1000))))))))</f>
        <v>0.0599584916</v>
      </c>
      <c r="D45" s="245"/>
      <c r="E45" s="227">
        <f>2.99792458*10^8/C42</f>
        <v>0.0599584916</v>
      </c>
    </row>
    <row r="46" s="173" customFormat="1" ht="11.25" hidden="1"/>
    <row r="47" ht="12" hidden="1"/>
    <row r="48" ht="12" hidden="1"/>
    <row r="49" ht="12" hidden="1"/>
    <row r="50" ht="12" hidden="1"/>
    <row r="51" ht="12" hidden="1"/>
    <row r="52" ht="12" hidden="1"/>
  </sheetData>
  <sheetProtection password="F39F" sheet="1" objects="1" scenarios="1"/>
  <mergeCells count="20">
    <mergeCell ref="L14:M14"/>
    <mergeCell ref="I6:J6"/>
    <mergeCell ref="I7:J7"/>
    <mergeCell ref="L10:M10"/>
    <mergeCell ref="L12:M12"/>
    <mergeCell ref="I10:J10"/>
    <mergeCell ref="I12:J12"/>
    <mergeCell ref="C15:D15"/>
    <mergeCell ref="C13:D13"/>
    <mergeCell ref="C9:D9"/>
    <mergeCell ref="C6:D6"/>
    <mergeCell ref="C11:D11"/>
    <mergeCell ref="C7:D7"/>
    <mergeCell ref="F9:G9"/>
    <mergeCell ref="F10:G10"/>
    <mergeCell ref="C3:M3"/>
    <mergeCell ref="L6:M6"/>
    <mergeCell ref="L7:M7"/>
    <mergeCell ref="F6:G6"/>
    <mergeCell ref="F7:G7"/>
  </mergeCells>
  <conditionalFormatting sqref="C8">
    <cfRule type="expression" priority="1" dxfId="1" stopIfTrue="1">
      <formula>AND($C$8&lt;=0,OR(D8="mW",D8="W",D8="kW",D8="MW"))</formula>
    </cfRule>
  </conditionalFormatting>
  <conditionalFormatting sqref="C12">
    <cfRule type="expression" priority="2" dxfId="1" stopIfTrue="1">
      <formula>AND($C$8&lt;=0,OR(D8="mW",D8="W",D8="kW",D8="MW"))</formula>
    </cfRule>
  </conditionalFormatting>
  <conditionalFormatting sqref="F11">
    <cfRule type="cellIs" priority="3" dxfId="2" operator="lessThan" stopIfTrue="1">
      <formula>-0.001</formula>
    </cfRule>
  </conditionalFormatting>
  <conditionalFormatting sqref="L8">
    <cfRule type="expression" priority="4" dxfId="1" stopIfTrue="1">
      <formula>"iserror($L$8)"</formula>
    </cfRule>
  </conditionalFormatting>
  <conditionalFormatting sqref="L15">
    <cfRule type="expression" priority="5" dxfId="1" stopIfTrue="1">
      <formula>ISERROR($L$15)</formula>
    </cfRule>
  </conditionalFormatting>
  <conditionalFormatting sqref="I8">
    <cfRule type="expression" priority="6" dxfId="1" stopIfTrue="1">
      <formula>ISERROR($I$8)</formula>
    </cfRule>
  </conditionalFormatting>
  <dataValidations count="10">
    <dataValidation type="custom" showInputMessage="1" showErrorMessage="1" error="Power in watts must be greater &gt;= 0" sqref="C8">
      <formula1>OR(D8="dBm",D8="dBW",AND($C$8&gt;0,OR(D8="mW",D8="W",D8="kW",D8="MW")))</formula1>
    </dataValidation>
    <dataValidation type="whole" operator="greaterThanOrEqual" allowBlank="1" showInputMessage="1" showErrorMessage="1" error="Invalid distance - use minimum of 1/10 wavelength" sqref="F11">
      <formula1>0</formula1>
    </dataValidation>
    <dataValidation type="decimal" operator="greaterThanOrEqual" showInputMessage="1" showErrorMessage="1" error="Must be &gt;= 0" sqref="I11">
      <formula1>0</formula1>
    </dataValidation>
    <dataValidation type="list" showInputMessage="1" showErrorMessage="1" sqref="D14">
      <formula1>$C$23:$C$26</formula1>
    </dataValidation>
    <dataValidation showInputMessage="1" showErrorMessage="1" error="Please choose from dropdown list" sqref="K15:K17 J13:J17 M15"/>
    <dataValidation type="list" showInputMessage="1" showErrorMessage="1" error="Please choose from dropdown list" sqref="D8 J8:K8 M8">
      <formula1>$D$23:$D$28</formula1>
    </dataValidation>
    <dataValidation type="list" showInputMessage="1" showErrorMessage="1" error="Please choose from dropdown list" sqref="D16">
      <formula1>$E$23:$E$31</formula1>
    </dataValidation>
    <dataValidation type="list" showInputMessage="1" showErrorMessage="1" error="Please choose from dropdown list" sqref="G8">
      <formula1>$E$23:$E$32</formula1>
    </dataValidation>
    <dataValidation operator="greaterThanOrEqual" showInputMessage="1" showErrorMessage="1" error="Must be &gt;= 0" sqref="L11 L13"/>
    <dataValidation type="decimal" operator="greaterThan" allowBlank="1" showInputMessage="1" showErrorMessage="1" sqref="C14">
      <formula1>0</formula1>
    </dataValidation>
  </dataValidations>
  <hyperlinks>
    <hyperlink ref="C4" r:id="rId1" display="Click here for the online version"/>
    <hyperlink ref="M4" r:id="rId2" tooltip="Click here to check for updates to this calculator" display="Click here to check for Updates"/>
    <hyperlink ref="M18" location="Home!D7" tooltip="Click to return to title page with calculator list" display="Home"/>
  </hyperlinks>
  <printOptions/>
  <pageMargins left="0.5" right="0.5" top="0.5" bottom="0.5" header="0.5" footer="0.5"/>
  <pageSetup fitToHeight="1" fitToWidth="1" horizontalDpi="600" verticalDpi="600" orientation="portrait" r:id="rId6"/>
  <drawing r:id="rId5"/>
  <legacyDrawing r:id="rId4"/>
</worksheet>
</file>

<file path=xl/worksheets/sheet13.xml><?xml version="1.0" encoding="utf-8"?>
<worksheet xmlns="http://schemas.openxmlformats.org/spreadsheetml/2006/main" xmlns:r="http://schemas.openxmlformats.org/officeDocument/2006/relationships">
  <sheetPr codeName="Sheet16">
    <pageSetUpPr fitToPage="1"/>
  </sheetPr>
  <dimension ref="A2:IU67"/>
  <sheetViews>
    <sheetView showGridLines="0" showRowColHeaders="0" workbookViewId="0" topLeftCell="A1">
      <selection activeCell="C7" sqref="C7"/>
    </sheetView>
  </sheetViews>
  <sheetFormatPr defaultColWidth="9.140625" defaultRowHeight="12" zeroHeight="1"/>
  <cols>
    <col min="1" max="1" width="0.5625" style="365" customWidth="1"/>
    <col min="2" max="2" width="1.1484375" style="365" customWidth="1"/>
    <col min="3" max="3" width="9.7109375" style="365" customWidth="1"/>
    <col min="4" max="5" width="5.7109375" style="365" customWidth="1"/>
    <col min="6" max="6" width="11.7109375" style="365" customWidth="1"/>
    <col min="7" max="8" width="5.7109375" style="365" customWidth="1"/>
    <col min="9" max="9" width="9.7109375" style="365" customWidth="1"/>
    <col min="10" max="10" width="5.7109375" style="365" customWidth="1"/>
    <col min="11" max="11" width="1.1484375" style="365" customWidth="1"/>
    <col min="12" max="12" width="0.5625" style="365" customWidth="1"/>
    <col min="13" max="16384" width="0" style="365" hidden="1" customWidth="1"/>
  </cols>
  <sheetData>
    <row r="1" ht="3" customHeight="1" thickBot="1"/>
    <row r="2" spans="2:11" ht="6" customHeight="1" thickTop="1">
      <c r="B2" s="368"/>
      <c r="C2" s="369"/>
      <c r="D2" s="369"/>
      <c r="E2" s="369"/>
      <c r="F2" s="369"/>
      <c r="G2" s="369"/>
      <c r="H2" s="369"/>
      <c r="I2" s="369"/>
      <c r="J2" s="369"/>
      <c r="K2" s="370"/>
    </row>
    <row r="3" spans="2:11" ht="12.75">
      <c r="B3" s="371"/>
      <c r="C3" s="518" t="s">
        <v>232</v>
      </c>
      <c r="D3" s="518"/>
      <c r="E3" s="518"/>
      <c r="F3" s="518"/>
      <c r="G3" s="518"/>
      <c r="H3" s="518"/>
      <c r="I3" s="518"/>
      <c r="J3" s="518"/>
      <c r="K3" s="372"/>
    </row>
    <row r="4" spans="2:11" ht="12.75">
      <c r="B4" s="371"/>
      <c r="C4" s="403" t="s">
        <v>131</v>
      </c>
      <c r="E4" s="373"/>
      <c r="F4" s="373"/>
      <c r="G4" s="373"/>
      <c r="H4" s="373"/>
      <c r="J4" s="404" t="s">
        <v>132</v>
      </c>
      <c r="K4" s="372"/>
    </row>
    <row r="5" spans="2:11" ht="12">
      <c r="B5" s="371"/>
      <c r="C5" s="5"/>
      <c r="D5" s="5"/>
      <c r="E5" s="5"/>
      <c r="F5" s="5"/>
      <c r="G5" s="5"/>
      <c r="H5" s="5"/>
      <c r="J5" s="5"/>
      <c r="K5" s="372"/>
    </row>
    <row r="6" spans="2:11" ht="12">
      <c r="B6" s="371"/>
      <c r="C6" s="519" t="s">
        <v>32</v>
      </c>
      <c r="D6" s="519"/>
      <c r="E6" s="75"/>
      <c r="F6" s="520" t="s">
        <v>233</v>
      </c>
      <c r="G6" s="520"/>
      <c r="I6" s="520" t="s">
        <v>8</v>
      </c>
      <c r="J6" s="520"/>
      <c r="K6" s="372"/>
    </row>
    <row r="7" spans="2:11" ht="12">
      <c r="B7" s="371"/>
      <c r="C7" s="71">
        <v>1</v>
      </c>
      <c r="D7" s="76" t="s">
        <v>40</v>
      </c>
      <c r="F7" s="5">
        <f>H20</f>
        <v>299792458</v>
      </c>
      <c r="G7" s="341" t="s">
        <v>106</v>
      </c>
      <c r="I7" s="71">
        <v>300</v>
      </c>
      <c r="J7" s="71" t="s">
        <v>46</v>
      </c>
      <c r="K7" s="372"/>
    </row>
    <row r="8" spans="2:11" ht="12">
      <c r="B8" s="371"/>
      <c r="C8" s="519" t="s">
        <v>234</v>
      </c>
      <c r="D8" s="519"/>
      <c r="F8" s="520" t="s">
        <v>231</v>
      </c>
      <c r="G8" s="520"/>
      <c r="I8" s="521" t="s">
        <v>27</v>
      </c>
      <c r="J8" s="521"/>
      <c r="K8" s="372"/>
    </row>
    <row r="9" spans="2:11" ht="12">
      <c r="B9" s="371"/>
      <c r="C9" s="71">
        <v>1</v>
      </c>
      <c r="F9" s="5">
        <f>H37</f>
        <v>3.3356409519815205E-06</v>
      </c>
      <c r="G9" s="341" t="s">
        <v>238</v>
      </c>
      <c r="I9" s="5">
        <f>D48</f>
        <v>0.0009993081933333333</v>
      </c>
      <c r="J9" s="76" t="s">
        <v>9</v>
      </c>
      <c r="K9" s="372"/>
    </row>
    <row r="10" spans="2:11" ht="12">
      <c r="B10" s="371"/>
      <c r="E10" s="79"/>
      <c r="I10" s="514" t="s">
        <v>235</v>
      </c>
      <c r="J10" s="514"/>
      <c r="K10" s="372"/>
    </row>
    <row r="11" spans="2:11" ht="12">
      <c r="B11" s="371"/>
      <c r="I11" s="5">
        <f>D30/D46</f>
        <v>1000692.2855944562</v>
      </c>
      <c r="K11" s="372"/>
    </row>
    <row r="12" spans="2:11" ht="12">
      <c r="B12" s="371"/>
      <c r="C12" s="5"/>
      <c r="F12" s="5"/>
      <c r="K12" s="372"/>
    </row>
    <row r="13" spans="2:11" ht="12">
      <c r="B13" s="371"/>
      <c r="C13" s="374" t="str">
        <f>Home!$D$7&amp;", "&amp;Home!$D$8&amp;", "&amp;Home!$D$9</f>
        <v>RF Cafe Calculator Workbook, v6.0, by RF Cafe</v>
      </c>
      <c r="F13" s="5"/>
      <c r="G13" s="5"/>
      <c r="H13" s="5"/>
      <c r="J13" s="421" t="s">
        <v>197</v>
      </c>
      <c r="K13" s="372"/>
    </row>
    <row r="14" spans="2:11" s="343" customFormat="1" ht="6" customHeight="1" thickBot="1">
      <c r="B14" s="375"/>
      <c r="C14" s="74"/>
      <c r="D14" s="74"/>
      <c r="E14" s="74"/>
      <c r="F14" s="376"/>
      <c r="G14" s="377"/>
      <c r="H14" s="376"/>
      <c r="I14" s="376"/>
      <c r="J14" s="376"/>
      <c r="K14" s="378"/>
    </row>
    <row r="15" spans="6:10" s="343" customFormat="1" ht="3" customHeight="1" thickTop="1">
      <c r="F15" s="365"/>
      <c r="H15" s="365"/>
      <c r="I15" s="365"/>
      <c r="J15" s="365"/>
    </row>
    <row r="16" spans="6:10" s="343" customFormat="1" ht="11.25" hidden="1">
      <c r="F16" s="344"/>
      <c r="H16" s="344"/>
      <c r="I16" s="344"/>
      <c r="J16" s="344"/>
    </row>
    <row r="17" spans="1:255" s="346" customFormat="1" ht="12.75" hidden="1">
      <c r="A17" s="345"/>
      <c r="B17" s="345"/>
      <c r="C17" s="347" t="s">
        <v>256</v>
      </c>
      <c r="D17" s="348"/>
      <c r="E17" s="354"/>
      <c r="G17" s="380" t="s">
        <v>258</v>
      </c>
      <c r="H17" s="358"/>
      <c r="I17" s="352"/>
      <c r="J17" s="352"/>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345"/>
      <c r="AP17" s="345"/>
      <c r="AQ17" s="345"/>
      <c r="AR17" s="345"/>
      <c r="AS17" s="345"/>
      <c r="AT17" s="345"/>
      <c r="AU17" s="345"/>
      <c r="AV17" s="345"/>
      <c r="AW17" s="345"/>
      <c r="AX17" s="345"/>
      <c r="AY17" s="345"/>
      <c r="AZ17" s="345"/>
      <c r="BA17" s="345"/>
      <c r="BB17" s="345"/>
      <c r="BC17" s="345"/>
      <c r="BD17" s="345"/>
      <c r="BE17" s="345"/>
      <c r="BF17" s="345"/>
      <c r="BG17" s="345"/>
      <c r="BH17" s="345"/>
      <c r="BI17" s="345"/>
      <c r="BJ17" s="345"/>
      <c r="BK17" s="345"/>
      <c r="BL17" s="345"/>
      <c r="BM17" s="345"/>
      <c r="BN17" s="345"/>
      <c r="BO17" s="345"/>
      <c r="BP17" s="345"/>
      <c r="BQ17" s="345"/>
      <c r="BR17" s="345"/>
      <c r="BS17" s="345"/>
      <c r="BT17" s="345"/>
      <c r="BU17" s="345"/>
      <c r="BV17" s="345"/>
      <c r="BW17" s="345"/>
      <c r="BX17" s="345"/>
      <c r="BY17" s="345"/>
      <c r="BZ17" s="345"/>
      <c r="CA17" s="345"/>
      <c r="CB17" s="345"/>
      <c r="CC17" s="345"/>
      <c r="CD17" s="345"/>
      <c r="CE17" s="345"/>
      <c r="CF17" s="345"/>
      <c r="CG17" s="345"/>
      <c r="CH17" s="345"/>
      <c r="CI17" s="345"/>
      <c r="CJ17" s="345"/>
      <c r="CK17" s="345"/>
      <c r="CL17" s="345"/>
      <c r="CM17" s="345"/>
      <c r="CN17" s="345"/>
      <c r="CO17" s="345"/>
      <c r="CP17" s="345"/>
      <c r="CQ17" s="345"/>
      <c r="CR17" s="345"/>
      <c r="CS17" s="345"/>
      <c r="CT17" s="345"/>
      <c r="CU17" s="345"/>
      <c r="CV17" s="345"/>
      <c r="CW17" s="345"/>
      <c r="CX17" s="345"/>
      <c r="CY17" s="345"/>
      <c r="CZ17" s="345"/>
      <c r="DA17" s="345"/>
      <c r="DB17" s="345"/>
      <c r="DC17" s="345"/>
      <c r="DD17" s="345"/>
      <c r="DE17" s="345"/>
      <c r="DF17" s="345"/>
      <c r="DG17" s="345"/>
      <c r="DH17" s="345"/>
      <c r="DI17" s="345"/>
      <c r="DJ17" s="345"/>
      <c r="DK17" s="345"/>
      <c r="DL17" s="345"/>
      <c r="DM17" s="345"/>
      <c r="DN17" s="345"/>
      <c r="DO17" s="345"/>
      <c r="DP17" s="345"/>
      <c r="DQ17" s="345"/>
      <c r="DR17" s="345"/>
      <c r="DS17" s="345"/>
      <c r="DT17" s="345"/>
      <c r="DU17" s="345"/>
      <c r="DV17" s="345"/>
      <c r="DW17" s="345"/>
      <c r="DX17" s="345"/>
      <c r="DY17" s="345"/>
      <c r="DZ17" s="345"/>
      <c r="EA17" s="345"/>
      <c r="EB17" s="345"/>
      <c r="EC17" s="345"/>
      <c r="ED17" s="345"/>
      <c r="EE17" s="345"/>
      <c r="EF17" s="345"/>
      <c r="EG17" s="345"/>
      <c r="EH17" s="345"/>
      <c r="EI17" s="345"/>
      <c r="EJ17" s="345"/>
      <c r="EK17" s="345"/>
      <c r="EL17" s="345"/>
      <c r="EM17" s="345"/>
      <c r="EN17" s="345"/>
      <c r="EO17" s="345"/>
      <c r="EP17" s="345"/>
      <c r="EQ17" s="345"/>
      <c r="ER17" s="345"/>
      <c r="ES17" s="345"/>
      <c r="ET17" s="345"/>
      <c r="EU17" s="345"/>
      <c r="EV17" s="345"/>
      <c r="EW17" s="345"/>
      <c r="EX17" s="345"/>
      <c r="EY17" s="345"/>
      <c r="EZ17" s="345"/>
      <c r="FA17" s="345"/>
      <c r="FB17" s="345"/>
      <c r="FC17" s="345"/>
      <c r="FD17" s="345"/>
      <c r="FE17" s="345"/>
      <c r="FF17" s="345"/>
      <c r="FG17" s="345"/>
      <c r="FH17" s="345"/>
      <c r="FI17" s="345"/>
      <c r="FJ17" s="345"/>
      <c r="FK17" s="345"/>
      <c r="FL17" s="345"/>
      <c r="FM17" s="345"/>
      <c r="FN17" s="345"/>
      <c r="FO17" s="345"/>
      <c r="FP17" s="345"/>
      <c r="FQ17" s="345"/>
      <c r="FR17" s="345"/>
      <c r="FS17" s="345"/>
      <c r="FT17" s="345"/>
      <c r="FU17" s="345"/>
      <c r="FV17" s="345"/>
      <c r="FW17" s="345"/>
      <c r="FX17" s="345"/>
      <c r="FY17" s="345"/>
      <c r="FZ17" s="345"/>
      <c r="GA17" s="345"/>
      <c r="GB17" s="345"/>
      <c r="GC17" s="345"/>
      <c r="GD17" s="345"/>
      <c r="GE17" s="345"/>
      <c r="GF17" s="345"/>
      <c r="GG17" s="345"/>
      <c r="GH17" s="345"/>
      <c r="GI17" s="345"/>
      <c r="GJ17" s="345"/>
      <c r="GK17" s="345"/>
      <c r="GL17" s="345"/>
      <c r="GM17" s="345"/>
      <c r="GN17" s="345"/>
      <c r="GO17" s="345"/>
      <c r="GP17" s="345"/>
      <c r="GQ17" s="345"/>
      <c r="GR17" s="345"/>
      <c r="GS17" s="345"/>
      <c r="GT17" s="345"/>
      <c r="GU17" s="345"/>
      <c r="GV17" s="345"/>
      <c r="GW17" s="345"/>
      <c r="GX17" s="345"/>
      <c r="GY17" s="345"/>
      <c r="GZ17" s="345"/>
      <c r="HA17" s="345"/>
      <c r="HB17" s="345"/>
      <c r="HC17" s="345"/>
      <c r="HD17" s="345"/>
      <c r="HE17" s="345"/>
      <c r="HF17" s="345"/>
      <c r="HG17" s="345"/>
      <c r="HH17" s="345"/>
      <c r="HI17" s="345"/>
      <c r="HJ17" s="345"/>
      <c r="HK17" s="345"/>
      <c r="HL17" s="345"/>
      <c r="HM17" s="345"/>
      <c r="HN17" s="345"/>
      <c r="HO17" s="345"/>
      <c r="HP17" s="345"/>
      <c r="HQ17" s="345"/>
      <c r="HR17" s="345"/>
      <c r="HS17" s="345"/>
      <c r="HT17" s="345"/>
      <c r="HU17" s="345"/>
      <c r="HV17" s="345"/>
      <c r="HW17" s="345"/>
      <c r="HX17" s="345"/>
      <c r="HY17" s="345"/>
      <c r="HZ17" s="345"/>
      <c r="IA17" s="345"/>
      <c r="IB17" s="345"/>
      <c r="IC17" s="345"/>
      <c r="ID17" s="345"/>
      <c r="IE17" s="345"/>
      <c r="IF17" s="345"/>
      <c r="IG17" s="345"/>
      <c r="IH17" s="345"/>
      <c r="II17" s="345"/>
      <c r="IJ17" s="345"/>
      <c r="IK17" s="345"/>
      <c r="IL17" s="345"/>
      <c r="IM17" s="345"/>
      <c r="IN17" s="345"/>
      <c r="IO17" s="345"/>
      <c r="IP17" s="345"/>
      <c r="IQ17" s="345"/>
      <c r="IR17" s="345"/>
      <c r="IS17" s="345"/>
      <c r="IT17" s="345"/>
      <c r="IU17" s="345"/>
    </row>
    <row r="18" spans="1:255" s="346" customFormat="1" ht="12.75" hidden="1">
      <c r="A18" s="345"/>
      <c r="B18" s="345"/>
      <c r="C18" s="349" t="s">
        <v>249</v>
      </c>
      <c r="D18" s="381" t="str">
        <f>J7</f>
        <v>GHz</v>
      </c>
      <c r="E18" s="354"/>
      <c r="G18" s="349" t="s">
        <v>264</v>
      </c>
      <c r="H18" s="350">
        <v>299792458</v>
      </c>
      <c r="I18" s="352"/>
      <c r="J18" s="352"/>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45"/>
      <c r="AS18" s="345"/>
      <c r="AT18" s="345"/>
      <c r="AU18" s="345"/>
      <c r="AV18" s="345"/>
      <c r="AW18" s="345"/>
      <c r="AX18" s="345"/>
      <c r="AY18" s="345"/>
      <c r="AZ18" s="345"/>
      <c r="BA18" s="345"/>
      <c r="BB18" s="345"/>
      <c r="BC18" s="345"/>
      <c r="BD18" s="345"/>
      <c r="BE18" s="345"/>
      <c r="BF18" s="345"/>
      <c r="BG18" s="345"/>
      <c r="BH18" s="345"/>
      <c r="BI18" s="345"/>
      <c r="BJ18" s="345"/>
      <c r="BK18" s="345"/>
      <c r="BL18" s="345"/>
      <c r="BM18" s="345"/>
      <c r="BN18" s="345"/>
      <c r="BO18" s="345"/>
      <c r="BP18" s="345"/>
      <c r="BQ18" s="345"/>
      <c r="BR18" s="345"/>
      <c r="BS18" s="345"/>
      <c r="BT18" s="345"/>
      <c r="BU18" s="345"/>
      <c r="BV18" s="345"/>
      <c r="BW18" s="345"/>
      <c r="BX18" s="345"/>
      <c r="BY18" s="345"/>
      <c r="BZ18" s="345"/>
      <c r="CA18" s="345"/>
      <c r="CB18" s="345"/>
      <c r="CC18" s="345"/>
      <c r="CD18" s="345"/>
      <c r="CE18" s="345"/>
      <c r="CF18" s="345"/>
      <c r="CG18" s="345"/>
      <c r="CH18" s="345"/>
      <c r="CI18" s="345"/>
      <c r="CJ18" s="345"/>
      <c r="CK18" s="345"/>
      <c r="CL18" s="345"/>
      <c r="CM18" s="345"/>
      <c r="CN18" s="345"/>
      <c r="CO18" s="345"/>
      <c r="CP18" s="345"/>
      <c r="CQ18" s="345"/>
      <c r="CR18" s="345"/>
      <c r="CS18" s="345"/>
      <c r="CT18" s="345"/>
      <c r="CU18" s="345"/>
      <c r="CV18" s="345"/>
      <c r="CW18" s="345"/>
      <c r="CX18" s="345"/>
      <c r="CY18" s="345"/>
      <c r="CZ18" s="345"/>
      <c r="DA18" s="345"/>
      <c r="DB18" s="345"/>
      <c r="DC18" s="345"/>
      <c r="DD18" s="345"/>
      <c r="DE18" s="345"/>
      <c r="DF18" s="345"/>
      <c r="DG18" s="345"/>
      <c r="DH18" s="345"/>
      <c r="DI18" s="345"/>
      <c r="DJ18" s="345"/>
      <c r="DK18" s="345"/>
      <c r="DL18" s="345"/>
      <c r="DM18" s="345"/>
      <c r="DN18" s="345"/>
      <c r="DO18" s="345"/>
      <c r="DP18" s="345"/>
      <c r="DQ18" s="345"/>
      <c r="DR18" s="345"/>
      <c r="DS18" s="345"/>
      <c r="DT18" s="345"/>
      <c r="DU18" s="345"/>
      <c r="DV18" s="345"/>
      <c r="DW18" s="345"/>
      <c r="DX18" s="345"/>
      <c r="DY18" s="345"/>
      <c r="DZ18" s="345"/>
      <c r="EA18" s="345"/>
      <c r="EB18" s="345"/>
      <c r="EC18" s="345"/>
      <c r="ED18" s="345"/>
      <c r="EE18" s="345"/>
      <c r="EF18" s="345"/>
      <c r="EG18" s="345"/>
      <c r="EH18" s="345"/>
      <c r="EI18" s="345"/>
      <c r="EJ18" s="345"/>
      <c r="EK18" s="345"/>
      <c r="EL18" s="345"/>
      <c r="EM18" s="345"/>
      <c r="EN18" s="345"/>
      <c r="EO18" s="345"/>
      <c r="EP18" s="345"/>
      <c r="EQ18" s="345"/>
      <c r="ER18" s="345"/>
      <c r="ES18" s="345"/>
      <c r="ET18" s="345"/>
      <c r="EU18" s="345"/>
      <c r="EV18" s="345"/>
      <c r="EW18" s="345"/>
      <c r="EX18" s="345"/>
      <c r="EY18" s="345"/>
      <c r="EZ18" s="345"/>
      <c r="FA18" s="345"/>
      <c r="FB18" s="345"/>
      <c r="FC18" s="345"/>
      <c r="FD18" s="345"/>
      <c r="FE18" s="345"/>
      <c r="FF18" s="345"/>
      <c r="FG18" s="345"/>
      <c r="FH18" s="345"/>
      <c r="FI18" s="345"/>
      <c r="FJ18" s="345"/>
      <c r="FK18" s="345"/>
      <c r="FL18" s="345"/>
      <c r="FM18" s="345"/>
      <c r="FN18" s="345"/>
      <c r="FO18" s="345"/>
      <c r="FP18" s="345"/>
      <c r="FQ18" s="345"/>
      <c r="FR18" s="345"/>
      <c r="FS18" s="345"/>
      <c r="FT18" s="345"/>
      <c r="FU18" s="345"/>
      <c r="FV18" s="345"/>
      <c r="FW18" s="345"/>
      <c r="FX18" s="345"/>
      <c r="FY18" s="345"/>
      <c r="FZ18" s="345"/>
      <c r="GA18" s="345"/>
      <c r="GB18" s="345"/>
      <c r="GC18" s="345"/>
      <c r="GD18" s="345"/>
      <c r="GE18" s="345"/>
      <c r="GF18" s="345"/>
      <c r="GG18" s="345"/>
      <c r="GH18" s="345"/>
      <c r="GI18" s="345"/>
      <c r="GJ18" s="345"/>
      <c r="GK18" s="345"/>
      <c r="GL18" s="345"/>
      <c r="GM18" s="345"/>
      <c r="GN18" s="345"/>
      <c r="GO18" s="345"/>
      <c r="GP18" s="345"/>
      <c r="GQ18" s="345"/>
      <c r="GR18" s="345"/>
      <c r="GS18" s="345"/>
      <c r="GT18" s="345"/>
      <c r="GU18" s="345"/>
      <c r="GV18" s="345"/>
      <c r="GW18" s="345"/>
      <c r="GX18" s="345"/>
      <c r="GY18" s="345"/>
      <c r="GZ18" s="345"/>
      <c r="HA18" s="345"/>
      <c r="HB18" s="345"/>
      <c r="HC18" s="345"/>
      <c r="HD18" s="345"/>
      <c r="HE18" s="345"/>
      <c r="HF18" s="345"/>
      <c r="HG18" s="345"/>
      <c r="HH18" s="345"/>
      <c r="HI18" s="345"/>
      <c r="HJ18" s="345"/>
      <c r="HK18" s="345"/>
      <c r="HL18" s="345"/>
      <c r="HM18" s="345"/>
      <c r="HN18" s="345"/>
      <c r="HO18" s="345"/>
      <c r="HP18" s="345"/>
      <c r="HQ18" s="345"/>
      <c r="HR18" s="345"/>
      <c r="HS18" s="345"/>
      <c r="HT18" s="345"/>
      <c r="HU18" s="345"/>
      <c r="HV18" s="345"/>
      <c r="HW18" s="345"/>
      <c r="HX18" s="345"/>
      <c r="HY18" s="345"/>
      <c r="HZ18" s="345"/>
      <c r="IA18" s="345"/>
      <c r="IB18" s="345"/>
      <c r="IC18" s="345"/>
      <c r="ID18" s="345"/>
      <c r="IE18" s="345"/>
      <c r="IF18" s="345"/>
      <c r="IG18" s="345"/>
      <c r="IH18" s="345"/>
      <c r="II18" s="345"/>
      <c r="IJ18" s="345"/>
      <c r="IK18" s="345"/>
      <c r="IL18" s="345"/>
      <c r="IM18" s="345"/>
      <c r="IN18" s="345"/>
      <c r="IO18" s="345"/>
      <c r="IP18" s="345"/>
      <c r="IQ18" s="345"/>
      <c r="IR18" s="345"/>
      <c r="IS18" s="345"/>
      <c r="IT18" s="345"/>
      <c r="IU18" s="345"/>
    </row>
    <row r="19" spans="1:255" s="346" customFormat="1" ht="12.75" hidden="1">
      <c r="A19" s="345"/>
      <c r="B19" s="345"/>
      <c r="C19" s="351" t="s">
        <v>250</v>
      </c>
      <c r="D19" s="381">
        <f>I7</f>
        <v>300</v>
      </c>
      <c r="E19" s="354"/>
      <c r="G19" s="349" t="s">
        <v>265</v>
      </c>
      <c r="H19" s="390">
        <f>H18/SQRT(C9)</f>
        <v>299792458</v>
      </c>
      <c r="I19" s="352"/>
      <c r="J19" s="352"/>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5"/>
      <c r="AR19" s="345"/>
      <c r="AS19" s="345"/>
      <c r="AT19" s="345"/>
      <c r="AU19" s="345"/>
      <c r="AV19" s="345"/>
      <c r="AW19" s="345"/>
      <c r="AX19" s="345"/>
      <c r="AY19" s="345"/>
      <c r="AZ19" s="345"/>
      <c r="BA19" s="345"/>
      <c r="BB19" s="345"/>
      <c r="BC19" s="345"/>
      <c r="BD19" s="345"/>
      <c r="BE19" s="345"/>
      <c r="BF19" s="345"/>
      <c r="BG19" s="345"/>
      <c r="BH19" s="345"/>
      <c r="BI19" s="345"/>
      <c r="BJ19" s="345"/>
      <c r="BK19" s="345"/>
      <c r="BL19" s="345"/>
      <c r="BM19" s="345"/>
      <c r="BN19" s="345"/>
      <c r="BO19" s="345"/>
      <c r="BP19" s="345"/>
      <c r="BQ19" s="345"/>
      <c r="BR19" s="345"/>
      <c r="BS19" s="345"/>
      <c r="BT19" s="345"/>
      <c r="BU19" s="345"/>
      <c r="BV19" s="345"/>
      <c r="BW19" s="345"/>
      <c r="BX19" s="345"/>
      <c r="BY19" s="345"/>
      <c r="BZ19" s="345"/>
      <c r="CA19" s="345"/>
      <c r="CB19" s="345"/>
      <c r="CC19" s="345"/>
      <c r="CD19" s="345"/>
      <c r="CE19" s="345"/>
      <c r="CF19" s="345"/>
      <c r="CG19" s="345"/>
      <c r="CH19" s="345"/>
      <c r="CI19" s="345"/>
      <c r="CJ19" s="345"/>
      <c r="CK19" s="345"/>
      <c r="CL19" s="345"/>
      <c r="CM19" s="345"/>
      <c r="CN19" s="345"/>
      <c r="CO19" s="345"/>
      <c r="CP19" s="345"/>
      <c r="CQ19" s="345"/>
      <c r="CR19" s="345"/>
      <c r="CS19" s="345"/>
      <c r="CT19" s="345"/>
      <c r="CU19" s="345"/>
      <c r="CV19" s="345"/>
      <c r="CW19" s="345"/>
      <c r="CX19" s="345"/>
      <c r="CY19" s="345"/>
      <c r="CZ19" s="345"/>
      <c r="DA19" s="345"/>
      <c r="DB19" s="345"/>
      <c r="DC19" s="345"/>
      <c r="DD19" s="345"/>
      <c r="DE19" s="345"/>
      <c r="DF19" s="345"/>
      <c r="DG19" s="345"/>
      <c r="DH19" s="345"/>
      <c r="DI19" s="345"/>
      <c r="DJ19" s="345"/>
      <c r="DK19" s="345"/>
      <c r="DL19" s="345"/>
      <c r="DM19" s="345"/>
      <c r="DN19" s="345"/>
      <c r="DO19" s="345"/>
      <c r="DP19" s="345"/>
      <c r="DQ19" s="345"/>
      <c r="DR19" s="345"/>
      <c r="DS19" s="345"/>
      <c r="DT19" s="345"/>
      <c r="DU19" s="345"/>
      <c r="DV19" s="345"/>
      <c r="DW19" s="345"/>
      <c r="DX19" s="345"/>
      <c r="DY19" s="345"/>
      <c r="DZ19" s="345"/>
      <c r="EA19" s="345"/>
      <c r="EB19" s="345"/>
      <c r="EC19" s="345"/>
      <c r="ED19" s="345"/>
      <c r="EE19" s="345"/>
      <c r="EF19" s="345"/>
      <c r="EG19" s="345"/>
      <c r="EH19" s="345"/>
      <c r="EI19" s="345"/>
      <c r="EJ19" s="345"/>
      <c r="EK19" s="345"/>
      <c r="EL19" s="345"/>
      <c r="EM19" s="345"/>
      <c r="EN19" s="345"/>
      <c r="EO19" s="345"/>
      <c r="EP19" s="345"/>
      <c r="EQ19" s="345"/>
      <c r="ER19" s="345"/>
      <c r="ES19" s="345"/>
      <c r="ET19" s="345"/>
      <c r="EU19" s="345"/>
      <c r="EV19" s="345"/>
      <c r="EW19" s="345"/>
      <c r="EX19" s="345"/>
      <c r="EY19" s="345"/>
      <c r="EZ19" s="345"/>
      <c r="FA19" s="345"/>
      <c r="FB19" s="345"/>
      <c r="FC19" s="345"/>
      <c r="FD19" s="345"/>
      <c r="FE19" s="345"/>
      <c r="FF19" s="345"/>
      <c r="FG19" s="345"/>
      <c r="FH19" s="345"/>
      <c r="FI19" s="345"/>
      <c r="FJ19" s="345"/>
      <c r="FK19" s="345"/>
      <c r="FL19" s="345"/>
      <c r="FM19" s="345"/>
      <c r="FN19" s="345"/>
      <c r="FO19" s="345"/>
      <c r="FP19" s="345"/>
      <c r="FQ19" s="345"/>
      <c r="FR19" s="345"/>
      <c r="FS19" s="345"/>
      <c r="FT19" s="345"/>
      <c r="FU19" s="345"/>
      <c r="FV19" s="345"/>
      <c r="FW19" s="345"/>
      <c r="FX19" s="345"/>
      <c r="FY19" s="345"/>
      <c r="FZ19" s="345"/>
      <c r="GA19" s="345"/>
      <c r="GB19" s="345"/>
      <c r="GC19" s="345"/>
      <c r="GD19" s="345"/>
      <c r="GE19" s="345"/>
      <c r="GF19" s="345"/>
      <c r="GG19" s="345"/>
      <c r="GH19" s="345"/>
      <c r="GI19" s="345"/>
      <c r="GJ19" s="345"/>
      <c r="GK19" s="345"/>
      <c r="GL19" s="345"/>
      <c r="GM19" s="345"/>
      <c r="GN19" s="345"/>
      <c r="GO19" s="345"/>
      <c r="GP19" s="345"/>
      <c r="GQ19" s="345"/>
      <c r="GR19" s="345"/>
      <c r="GS19" s="345"/>
      <c r="GT19" s="345"/>
      <c r="GU19" s="345"/>
      <c r="GV19" s="345"/>
      <c r="GW19" s="345"/>
      <c r="GX19" s="345"/>
      <c r="GY19" s="345"/>
      <c r="GZ19" s="345"/>
      <c r="HA19" s="345"/>
      <c r="HB19" s="345"/>
      <c r="HC19" s="345"/>
      <c r="HD19" s="345"/>
      <c r="HE19" s="345"/>
      <c r="HF19" s="345"/>
      <c r="HG19" s="345"/>
      <c r="HH19" s="345"/>
      <c r="HI19" s="345"/>
      <c r="HJ19" s="345"/>
      <c r="HK19" s="345"/>
      <c r="HL19" s="345"/>
      <c r="HM19" s="345"/>
      <c r="HN19" s="345"/>
      <c r="HO19" s="345"/>
      <c r="HP19" s="345"/>
      <c r="HQ19" s="345"/>
      <c r="HR19" s="345"/>
      <c r="HS19" s="345"/>
      <c r="HT19" s="345"/>
      <c r="HU19" s="345"/>
      <c r="HV19" s="345"/>
      <c r="HW19" s="345"/>
      <c r="HX19" s="345"/>
      <c r="HY19" s="345"/>
      <c r="HZ19" s="345"/>
      <c r="IA19" s="345"/>
      <c r="IB19" s="345"/>
      <c r="IC19" s="345"/>
      <c r="ID19" s="345"/>
      <c r="IE19" s="345"/>
      <c r="IF19" s="345"/>
      <c r="IG19" s="345"/>
      <c r="IH19" s="345"/>
      <c r="II19" s="345"/>
      <c r="IJ19" s="345"/>
      <c r="IK19" s="345"/>
      <c r="IL19" s="345"/>
      <c r="IM19" s="345"/>
      <c r="IN19" s="345"/>
      <c r="IO19" s="345"/>
      <c r="IP19" s="345"/>
      <c r="IQ19" s="345"/>
      <c r="IR19" s="345"/>
      <c r="IS19" s="345"/>
      <c r="IT19" s="345"/>
      <c r="IU19" s="345"/>
    </row>
    <row r="20" spans="1:255" s="346" customFormat="1" ht="12.75" hidden="1">
      <c r="A20" s="345"/>
      <c r="B20" s="345"/>
      <c r="C20" s="349" t="s">
        <v>255</v>
      </c>
      <c r="D20" s="381">
        <f>IF(J7="GHz",D21,IF(J7="MHz",D22,IF(J7="kHz",D23,D24)))</f>
        <v>300000000000</v>
      </c>
      <c r="E20" s="354"/>
      <c r="G20" s="349" t="s">
        <v>263</v>
      </c>
      <c r="H20" s="390">
        <f>IF(G7="ft/s",H19/H23,IF(G7="in/s",H19/H24,IF(G7="km/s",H19/H25,IF(G7="mi/s",H19/H26,IF(G7="km/hr",H19/H27,IF(G7="mi/hr",H19/H28,IF(G7="kt",H19/H29,H19)))))))</f>
        <v>299792458</v>
      </c>
      <c r="I20" s="352"/>
      <c r="J20" s="352"/>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c r="BW20" s="345"/>
      <c r="BX20" s="345"/>
      <c r="BY20" s="345"/>
      <c r="BZ20" s="345"/>
      <c r="CA20" s="345"/>
      <c r="CB20" s="345"/>
      <c r="CC20" s="345"/>
      <c r="CD20" s="345"/>
      <c r="CE20" s="345"/>
      <c r="CF20" s="345"/>
      <c r="CG20" s="345"/>
      <c r="CH20" s="345"/>
      <c r="CI20" s="345"/>
      <c r="CJ20" s="345"/>
      <c r="CK20" s="345"/>
      <c r="CL20" s="345"/>
      <c r="CM20" s="345"/>
      <c r="CN20" s="345"/>
      <c r="CO20" s="345"/>
      <c r="CP20" s="345"/>
      <c r="CQ20" s="345"/>
      <c r="CR20" s="345"/>
      <c r="CS20" s="345"/>
      <c r="CT20" s="345"/>
      <c r="CU20" s="345"/>
      <c r="CV20" s="345"/>
      <c r="CW20" s="345"/>
      <c r="CX20" s="345"/>
      <c r="CY20" s="345"/>
      <c r="CZ20" s="345"/>
      <c r="DA20" s="345"/>
      <c r="DB20" s="345"/>
      <c r="DC20" s="345"/>
      <c r="DD20" s="345"/>
      <c r="DE20" s="345"/>
      <c r="DF20" s="345"/>
      <c r="DG20" s="345"/>
      <c r="DH20" s="345"/>
      <c r="DI20" s="345"/>
      <c r="DJ20" s="345"/>
      <c r="DK20" s="345"/>
      <c r="DL20" s="345"/>
      <c r="DM20" s="345"/>
      <c r="DN20" s="345"/>
      <c r="DO20" s="345"/>
      <c r="DP20" s="345"/>
      <c r="DQ20" s="345"/>
      <c r="DR20" s="345"/>
      <c r="DS20" s="345"/>
      <c r="DT20" s="345"/>
      <c r="DU20" s="345"/>
      <c r="DV20" s="345"/>
      <c r="DW20" s="345"/>
      <c r="DX20" s="345"/>
      <c r="DY20" s="345"/>
      <c r="DZ20" s="345"/>
      <c r="EA20" s="345"/>
      <c r="EB20" s="345"/>
      <c r="EC20" s="345"/>
      <c r="ED20" s="345"/>
      <c r="EE20" s="345"/>
      <c r="EF20" s="345"/>
      <c r="EG20" s="345"/>
      <c r="EH20" s="345"/>
      <c r="EI20" s="345"/>
      <c r="EJ20" s="345"/>
      <c r="EK20" s="345"/>
      <c r="EL20" s="345"/>
      <c r="EM20" s="345"/>
      <c r="EN20" s="345"/>
      <c r="EO20" s="345"/>
      <c r="EP20" s="345"/>
      <c r="EQ20" s="345"/>
      <c r="ER20" s="345"/>
      <c r="ES20" s="345"/>
      <c r="ET20" s="345"/>
      <c r="EU20" s="345"/>
      <c r="EV20" s="345"/>
      <c r="EW20" s="345"/>
      <c r="EX20" s="345"/>
      <c r="EY20" s="345"/>
      <c r="EZ20" s="345"/>
      <c r="FA20" s="345"/>
      <c r="FB20" s="345"/>
      <c r="FC20" s="345"/>
      <c r="FD20" s="345"/>
      <c r="FE20" s="345"/>
      <c r="FF20" s="345"/>
      <c r="FG20" s="345"/>
      <c r="FH20" s="345"/>
      <c r="FI20" s="345"/>
      <c r="FJ20" s="345"/>
      <c r="FK20" s="345"/>
      <c r="FL20" s="345"/>
      <c r="FM20" s="345"/>
      <c r="FN20" s="345"/>
      <c r="FO20" s="345"/>
      <c r="FP20" s="345"/>
      <c r="FQ20" s="345"/>
      <c r="FR20" s="345"/>
      <c r="FS20" s="345"/>
      <c r="FT20" s="345"/>
      <c r="FU20" s="345"/>
      <c r="FV20" s="345"/>
      <c r="FW20" s="345"/>
      <c r="FX20" s="345"/>
      <c r="FY20" s="345"/>
      <c r="FZ20" s="345"/>
      <c r="GA20" s="345"/>
      <c r="GB20" s="345"/>
      <c r="GC20" s="345"/>
      <c r="GD20" s="345"/>
      <c r="GE20" s="345"/>
      <c r="GF20" s="345"/>
      <c r="GG20" s="345"/>
      <c r="GH20" s="345"/>
      <c r="GI20" s="345"/>
      <c r="GJ20" s="345"/>
      <c r="GK20" s="345"/>
      <c r="GL20" s="345"/>
      <c r="GM20" s="345"/>
      <c r="GN20" s="345"/>
      <c r="GO20" s="345"/>
      <c r="GP20" s="345"/>
      <c r="GQ20" s="345"/>
      <c r="GR20" s="345"/>
      <c r="GS20" s="345"/>
      <c r="GT20" s="345"/>
      <c r="GU20" s="345"/>
      <c r="GV20" s="345"/>
      <c r="GW20" s="345"/>
      <c r="GX20" s="345"/>
      <c r="GY20" s="345"/>
      <c r="GZ20" s="345"/>
      <c r="HA20" s="345"/>
      <c r="HB20" s="345"/>
      <c r="HC20" s="345"/>
      <c r="HD20" s="345"/>
      <c r="HE20" s="345"/>
      <c r="HF20" s="345"/>
      <c r="HG20" s="345"/>
      <c r="HH20" s="345"/>
      <c r="HI20" s="345"/>
      <c r="HJ20" s="345"/>
      <c r="HK20" s="345"/>
      <c r="HL20" s="345"/>
      <c r="HM20" s="345"/>
      <c r="HN20" s="345"/>
      <c r="HO20" s="345"/>
      <c r="HP20" s="345"/>
      <c r="HQ20" s="345"/>
      <c r="HR20" s="345"/>
      <c r="HS20" s="345"/>
      <c r="HT20" s="345"/>
      <c r="HU20" s="345"/>
      <c r="HV20" s="345"/>
      <c r="HW20" s="345"/>
      <c r="HX20" s="345"/>
      <c r="HY20" s="345"/>
      <c r="HZ20" s="345"/>
      <c r="IA20" s="345"/>
      <c r="IB20" s="345"/>
      <c r="IC20" s="345"/>
      <c r="ID20" s="345"/>
      <c r="IE20" s="345"/>
      <c r="IF20" s="345"/>
      <c r="IG20" s="345"/>
      <c r="IH20" s="345"/>
      <c r="II20" s="345"/>
      <c r="IJ20" s="345"/>
      <c r="IK20" s="345"/>
      <c r="IL20" s="345"/>
      <c r="IM20" s="345"/>
      <c r="IN20" s="345"/>
      <c r="IO20" s="345"/>
      <c r="IP20" s="345"/>
      <c r="IQ20" s="345"/>
      <c r="IR20" s="345"/>
      <c r="IS20" s="345"/>
      <c r="IT20" s="345"/>
      <c r="IU20" s="345"/>
    </row>
    <row r="21" spans="1:255" s="346" customFormat="1" ht="12.75" hidden="1">
      <c r="A21" s="345"/>
      <c r="B21" s="345"/>
      <c r="C21" s="387" t="s">
        <v>46</v>
      </c>
      <c r="D21" s="350">
        <f>D19*1000000000</f>
        <v>300000000000</v>
      </c>
      <c r="E21" s="354"/>
      <c r="G21" s="396" t="s">
        <v>17</v>
      </c>
      <c r="H21" s="390"/>
      <c r="I21" s="352"/>
      <c r="J21" s="352"/>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5"/>
      <c r="AM21" s="345"/>
      <c r="AN21" s="345"/>
      <c r="AO21" s="345"/>
      <c r="AP21" s="345"/>
      <c r="AQ21" s="345"/>
      <c r="AR21" s="345"/>
      <c r="AS21" s="345"/>
      <c r="AT21" s="345"/>
      <c r="AU21" s="345"/>
      <c r="AV21" s="345"/>
      <c r="AW21" s="345"/>
      <c r="AX21" s="345"/>
      <c r="AY21" s="345"/>
      <c r="AZ21" s="345"/>
      <c r="BA21" s="345"/>
      <c r="BB21" s="345"/>
      <c r="BC21" s="345"/>
      <c r="BD21" s="345"/>
      <c r="BE21" s="345"/>
      <c r="BF21" s="345"/>
      <c r="BG21" s="345"/>
      <c r="BH21" s="345"/>
      <c r="BI21" s="345"/>
      <c r="BJ21" s="345"/>
      <c r="BK21" s="345"/>
      <c r="BL21" s="345"/>
      <c r="BM21" s="345"/>
      <c r="BN21" s="345"/>
      <c r="BO21" s="345"/>
      <c r="BP21" s="345"/>
      <c r="BQ21" s="345"/>
      <c r="BR21" s="345"/>
      <c r="BS21" s="345"/>
      <c r="BT21" s="345"/>
      <c r="BU21" s="345"/>
      <c r="BV21" s="345"/>
      <c r="BW21" s="345"/>
      <c r="BX21" s="345"/>
      <c r="BY21" s="345"/>
      <c r="BZ21" s="345"/>
      <c r="CA21" s="345"/>
      <c r="CB21" s="345"/>
      <c r="CC21" s="345"/>
      <c r="CD21" s="345"/>
      <c r="CE21" s="345"/>
      <c r="CF21" s="345"/>
      <c r="CG21" s="345"/>
      <c r="CH21" s="345"/>
      <c r="CI21" s="345"/>
      <c r="CJ21" s="345"/>
      <c r="CK21" s="345"/>
      <c r="CL21" s="345"/>
      <c r="CM21" s="345"/>
      <c r="CN21" s="345"/>
      <c r="CO21" s="345"/>
      <c r="CP21" s="345"/>
      <c r="CQ21" s="345"/>
      <c r="CR21" s="345"/>
      <c r="CS21" s="345"/>
      <c r="CT21" s="345"/>
      <c r="CU21" s="345"/>
      <c r="CV21" s="345"/>
      <c r="CW21" s="345"/>
      <c r="CX21" s="345"/>
      <c r="CY21" s="345"/>
      <c r="CZ21" s="345"/>
      <c r="DA21" s="345"/>
      <c r="DB21" s="345"/>
      <c r="DC21" s="345"/>
      <c r="DD21" s="345"/>
      <c r="DE21" s="345"/>
      <c r="DF21" s="345"/>
      <c r="DG21" s="345"/>
      <c r="DH21" s="345"/>
      <c r="DI21" s="345"/>
      <c r="DJ21" s="345"/>
      <c r="DK21" s="345"/>
      <c r="DL21" s="345"/>
      <c r="DM21" s="345"/>
      <c r="DN21" s="345"/>
      <c r="DO21" s="345"/>
      <c r="DP21" s="345"/>
      <c r="DQ21" s="345"/>
      <c r="DR21" s="345"/>
      <c r="DS21" s="345"/>
      <c r="DT21" s="345"/>
      <c r="DU21" s="345"/>
      <c r="DV21" s="345"/>
      <c r="DW21" s="345"/>
      <c r="DX21" s="345"/>
      <c r="DY21" s="345"/>
      <c r="DZ21" s="345"/>
      <c r="EA21" s="345"/>
      <c r="EB21" s="345"/>
      <c r="EC21" s="345"/>
      <c r="ED21" s="345"/>
      <c r="EE21" s="345"/>
      <c r="EF21" s="345"/>
      <c r="EG21" s="345"/>
      <c r="EH21" s="345"/>
      <c r="EI21" s="345"/>
      <c r="EJ21" s="345"/>
      <c r="EK21" s="345"/>
      <c r="EL21" s="345"/>
      <c r="EM21" s="345"/>
      <c r="EN21" s="345"/>
      <c r="EO21" s="345"/>
      <c r="EP21" s="345"/>
      <c r="EQ21" s="345"/>
      <c r="ER21" s="345"/>
      <c r="ES21" s="345"/>
      <c r="ET21" s="345"/>
      <c r="EU21" s="345"/>
      <c r="EV21" s="345"/>
      <c r="EW21" s="345"/>
      <c r="EX21" s="345"/>
      <c r="EY21" s="345"/>
      <c r="EZ21" s="345"/>
      <c r="FA21" s="345"/>
      <c r="FB21" s="345"/>
      <c r="FC21" s="345"/>
      <c r="FD21" s="345"/>
      <c r="FE21" s="345"/>
      <c r="FF21" s="345"/>
      <c r="FG21" s="345"/>
      <c r="FH21" s="345"/>
      <c r="FI21" s="345"/>
      <c r="FJ21" s="345"/>
      <c r="FK21" s="345"/>
      <c r="FL21" s="345"/>
      <c r="FM21" s="345"/>
      <c r="FN21" s="345"/>
      <c r="FO21" s="345"/>
      <c r="FP21" s="345"/>
      <c r="FQ21" s="345"/>
      <c r="FR21" s="345"/>
      <c r="FS21" s="345"/>
      <c r="FT21" s="345"/>
      <c r="FU21" s="345"/>
      <c r="FV21" s="345"/>
      <c r="FW21" s="345"/>
      <c r="FX21" s="345"/>
      <c r="FY21" s="345"/>
      <c r="FZ21" s="345"/>
      <c r="GA21" s="345"/>
      <c r="GB21" s="345"/>
      <c r="GC21" s="345"/>
      <c r="GD21" s="345"/>
      <c r="GE21" s="345"/>
      <c r="GF21" s="345"/>
      <c r="GG21" s="345"/>
      <c r="GH21" s="345"/>
      <c r="GI21" s="345"/>
      <c r="GJ21" s="345"/>
      <c r="GK21" s="345"/>
      <c r="GL21" s="345"/>
      <c r="GM21" s="345"/>
      <c r="GN21" s="345"/>
      <c r="GO21" s="345"/>
      <c r="GP21" s="345"/>
      <c r="GQ21" s="345"/>
      <c r="GR21" s="345"/>
      <c r="GS21" s="345"/>
      <c r="GT21" s="345"/>
      <c r="GU21" s="345"/>
      <c r="GV21" s="345"/>
      <c r="GW21" s="345"/>
      <c r="GX21" s="345"/>
      <c r="GY21" s="345"/>
      <c r="GZ21" s="345"/>
      <c r="HA21" s="345"/>
      <c r="HB21" s="345"/>
      <c r="HC21" s="345"/>
      <c r="HD21" s="345"/>
      <c r="HE21" s="345"/>
      <c r="HF21" s="345"/>
      <c r="HG21" s="345"/>
      <c r="HH21" s="345"/>
      <c r="HI21" s="345"/>
      <c r="HJ21" s="345"/>
      <c r="HK21" s="345"/>
      <c r="HL21" s="345"/>
      <c r="HM21" s="345"/>
      <c r="HN21" s="345"/>
      <c r="HO21" s="345"/>
      <c r="HP21" s="345"/>
      <c r="HQ21" s="345"/>
      <c r="HR21" s="345"/>
      <c r="HS21" s="345"/>
      <c r="HT21" s="345"/>
      <c r="HU21" s="345"/>
      <c r="HV21" s="345"/>
      <c r="HW21" s="345"/>
      <c r="HX21" s="345"/>
      <c r="HY21" s="345"/>
      <c r="HZ21" s="345"/>
      <c r="IA21" s="345"/>
      <c r="IB21" s="345"/>
      <c r="IC21" s="345"/>
      <c r="ID21" s="345"/>
      <c r="IE21" s="345"/>
      <c r="IF21" s="345"/>
      <c r="IG21" s="345"/>
      <c r="IH21" s="345"/>
      <c r="II21" s="345"/>
      <c r="IJ21" s="345"/>
      <c r="IK21" s="345"/>
      <c r="IL21" s="345"/>
      <c r="IM21" s="345"/>
      <c r="IN21" s="345"/>
      <c r="IO21" s="345"/>
      <c r="IP21" s="345"/>
      <c r="IQ21" s="345"/>
      <c r="IR21" s="345"/>
      <c r="IS21" s="345"/>
      <c r="IT21" s="345"/>
      <c r="IU21" s="345"/>
    </row>
    <row r="22" spans="3:8" s="352" customFormat="1" ht="13.5" customHeight="1" hidden="1">
      <c r="C22" s="387" t="s">
        <v>37</v>
      </c>
      <c r="D22" s="350">
        <f>D19*1000000</f>
        <v>300000000</v>
      </c>
      <c r="E22" s="354"/>
      <c r="G22" s="391"/>
      <c r="H22" s="392" t="s">
        <v>107</v>
      </c>
    </row>
    <row r="23" spans="3:8" s="352" customFormat="1" ht="13.5" customHeight="1" hidden="1">
      <c r="C23" s="387" t="s">
        <v>47</v>
      </c>
      <c r="D23" s="350">
        <f>D19*1000</f>
        <v>300000</v>
      </c>
      <c r="E23" s="354"/>
      <c r="G23" s="393" t="s">
        <v>107</v>
      </c>
      <c r="H23" s="362">
        <v>1</v>
      </c>
    </row>
    <row r="24" spans="3:8" s="352" customFormat="1" ht="13.5" customHeight="1" hidden="1">
      <c r="C24" s="388" t="s">
        <v>65</v>
      </c>
      <c r="D24" s="356">
        <f>D19</f>
        <v>300</v>
      </c>
      <c r="E24" s="354"/>
      <c r="G24" s="393" t="s">
        <v>106</v>
      </c>
      <c r="H24" s="362">
        <v>0.3048</v>
      </c>
    </row>
    <row r="25" spans="5:8" s="352" customFormat="1" ht="13.5" customHeight="1" hidden="1">
      <c r="E25" s="354"/>
      <c r="G25" s="393" t="s">
        <v>259</v>
      </c>
      <c r="H25" s="362">
        <v>0.0254</v>
      </c>
    </row>
    <row r="26" spans="3:8" s="352" customFormat="1" ht="13.5" customHeight="1" hidden="1">
      <c r="C26" s="357" t="s">
        <v>254</v>
      </c>
      <c r="D26" s="358"/>
      <c r="E26" s="354"/>
      <c r="G26" s="393" t="s">
        <v>260</v>
      </c>
      <c r="H26" s="362">
        <v>1000</v>
      </c>
    </row>
    <row r="27" spans="3:8" s="352" customFormat="1" ht="12.75" hidden="1">
      <c r="C27" s="359" t="s">
        <v>249</v>
      </c>
      <c r="D27" s="399" t="str">
        <f>D7</f>
        <v>km</v>
      </c>
      <c r="E27" s="367"/>
      <c r="F27" s="383"/>
      <c r="G27" s="389" t="s">
        <v>261</v>
      </c>
      <c r="H27" s="350">
        <v>1609.344</v>
      </c>
    </row>
    <row r="28" spans="3:10" s="352" customFormat="1" ht="12.75" hidden="1">
      <c r="C28" s="359" t="s">
        <v>250</v>
      </c>
      <c r="D28" s="399">
        <f>C7</f>
        <v>1</v>
      </c>
      <c r="E28" s="367"/>
      <c r="F28" s="383"/>
      <c r="G28" s="387" t="s">
        <v>100</v>
      </c>
      <c r="H28" s="362">
        <v>0.277777778</v>
      </c>
      <c r="I28" s="345"/>
      <c r="J28" s="345"/>
    </row>
    <row r="29" spans="3:10" s="352" customFormat="1" ht="12.75" hidden="1">
      <c r="C29" s="359" t="s">
        <v>251</v>
      </c>
      <c r="D29" s="382">
        <f>IF(D27="in",D36,IF(D27="ft",D35,IF(D27="cm",D33,IF(D27="mm",D34,IF(D27="yd",D37,IF(D27="mi",D38,IF(D27="nmi",D39,IF(D27="km",D31,D32))))))))</f>
        <v>1000</v>
      </c>
      <c r="E29" s="367"/>
      <c r="F29" s="367"/>
      <c r="G29" s="394" t="s">
        <v>99</v>
      </c>
      <c r="H29" s="362">
        <v>0.44704</v>
      </c>
      <c r="I29" s="361"/>
      <c r="J29" s="365"/>
    </row>
    <row r="30" spans="3:10" s="352" customFormat="1" ht="12.75" hidden="1">
      <c r="C30" s="359" t="s">
        <v>267</v>
      </c>
      <c r="D30" s="399">
        <f>IF(D27="au",D40,IF(D27="ly",D41,D29))</f>
        <v>1000</v>
      </c>
      <c r="E30" s="354"/>
      <c r="F30" s="386"/>
      <c r="G30" s="395" t="s">
        <v>93</v>
      </c>
      <c r="H30" s="364">
        <v>0.514444444</v>
      </c>
      <c r="I30" s="361"/>
      <c r="J30" s="365"/>
    </row>
    <row r="31" spans="3:10" s="352" customFormat="1" ht="12.75" hidden="1">
      <c r="C31" s="387" t="s">
        <v>40</v>
      </c>
      <c r="D31" s="385">
        <f>D28*1000</f>
        <v>1000</v>
      </c>
      <c r="E31" s="379"/>
      <c r="F31" s="386"/>
      <c r="G31" s="384"/>
      <c r="I31" s="361"/>
      <c r="J31" s="345"/>
    </row>
    <row r="32" spans="3:10" s="352" customFormat="1" ht="12.75" hidden="1">
      <c r="C32" s="387" t="s">
        <v>9</v>
      </c>
      <c r="D32" s="385">
        <f>D28</f>
        <v>1</v>
      </c>
      <c r="E32" s="379"/>
      <c r="F32" s="386"/>
      <c r="G32" s="383"/>
      <c r="H32" s="345"/>
      <c r="I32" s="361"/>
      <c r="J32" s="345"/>
    </row>
    <row r="33" spans="3:10" s="352" customFormat="1" ht="12.75" hidden="1">
      <c r="C33" s="387" t="s">
        <v>74</v>
      </c>
      <c r="D33" s="385">
        <f>D28*0.01</f>
        <v>0.01</v>
      </c>
      <c r="E33" s="379"/>
      <c r="F33" s="360"/>
      <c r="G33" s="401" t="s">
        <v>262</v>
      </c>
      <c r="H33" s="402"/>
      <c r="I33" s="361"/>
      <c r="J33" s="345"/>
    </row>
    <row r="34" spans="3:9" s="345" customFormat="1" ht="12.75" hidden="1">
      <c r="C34" s="387" t="s">
        <v>69</v>
      </c>
      <c r="D34" s="362">
        <f>D28*0.001</f>
        <v>0.001</v>
      </c>
      <c r="E34" s="361"/>
      <c r="F34" s="354"/>
      <c r="G34" s="349" t="s">
        <v>269</v>
      </c>
      <c r="H34" s="382">
        <f>D30/299792458</f>
        <v>3.3356409519815205E-06</v>
      </c>
      <c r="I34" s="361"/>
    </row>
    <row r="35" spans="3:11" s="345" customFormat="1" ht="12.75" hidden="1">
      <c r="C35" s="387" t="s">
        <v>41</v>
      </c>
      <c r="D35" s="362">
        <f>D28*0.3048</f>
        <v>0.3048</v>
      </c>
      <c r="E35" s="361"/>
      <c r="F35" s="354"/>
      <c r="G35" s="349" t="s">
        <v>270</v>
      </c>
      <c r="H35" s="385">
        <f>H34*SQRT(C9)</f>
        <v>3.3356409519815205E-06</v>
      </c>
      <c r="I35" s="361"/>
      <c r="K35" s="352"/>
    </row>
    <row r="36" spans="3:11" s="345" customFormat="1" ht="12.75" hidden="1">
      <c r="C36" s="387" t="s">
        <v>72</v>
      </c>
      <c r="D36" s="362">
        <f>D28*0.0254</f>
        <v>0.0254</v>
      </c>
      <c r="E36" s="361"/>
      <c r="F36" s="352"/>
      <c r="G36" s="349" t="s">
        <v>268</v>
      </c>
      <c r="H36" s="385">
        <f>IF(G9="yr",H35*H40,IF(G9="mo",H35*H41,IF(G9="wk",H35*H42,IF(G9="day",H35*H43,IF(G9="hr",H35*H44,IF(G9="min",H35*H45,H35))))))</f>
        <v>3.3356409519815205E-06</v>
      </c>
      <c r="I36" s="361"/>
      <c r="K36" s="352"/>
    </row>
    <row r="37" spans="3:9" s="345" customFormat="1" ht="12.75" hidden="1">
      <c r="C37" s="389" t="s">
        <v>245</v>
      </c>
      <c r="D37" s="362">
        <f>D28*0.9144</f>
        <v>0.9144</v>
      </c>
      <c r="E37" s="361"/>
      <c r="G37" s="349" t="s">
        <v>267</v>
      </c>
      <c r="H37" s="385">
        <f>IF(G9="ms",H35*H47,IF(G9="us",H35*H48,IF(G9="ns",H35*H49,IF(G9="ps",H35*H50,IF(G9="fs",H35*H51,H36)))))</f>
        <v>3.3356409519815205E-06</v>
      </c>
      <c r="I37" s="361"/>
    </row>
    <row r="38" spans="3:9" s="345" customFormat="1" ht="12.75" hidden="1">
      <c r="C38" s="389" t="s">
        <v>244</v>
      </c>
      <c r="D38" s="362">
        <f>D28*1609.344</f>
        <v>1609.344</v>
      </c>
      <c r="E38" s="361"/>
      <c r="G38" s="396" t="s">
        <v>17</v>
      </c>
      <c r="H38" s="385"/>
      <c r="I38" s="361"/>
    </row>
    <row r="39" spans="3:9" s="345" customFormat="1" ht="12.75" hidden="1">
      <c r="C39" s="389" t="s">
        <v>71</v>
      </c>
      <c r="D39" s="362">
        <f>D28*1852</f>
        <v>1852</v>
      </c>
      <c r="E39" s="361"/>
      <c r="G39" s="397"/>
      <c r="H39" s="398" t="s">
        <v>238</v>
      </c>
      <c r="I39" s="361"/>
    </row>
    <row r="40" spans="3:9" s="345" customFormat="1" ht="12.75" hidden="1">
      <c r="C40" s="387" t="s">
        <v>252</v>
      </c>
      <c r="D40" s="362">
        <f>D28*149598000000</f>
        <v>149598000000</v>
      </c>
      <c r="E40" s="361"/>
      <c r="G40" s="353" t="s">
        <v>246</v>
      </c>
      <c r="H40" s="362">
        <v>3.16887646E-08</v>
      </c>
      <c r="I40" s="361"/>
    </row>
    <row r="41" spans="3:10" s="345" customFormat="1" ht="12.75" hidden="1">
      <c r="C41" s="388" t="s">
        <v>253</v>
      </c>
      <c r="D41" s="364">
        <f>D28*9460528400000000</f>
        <v>9460528400000000</v>
      </c>
      <c r="E41" s="361"/>
      <c r="G41" s="353" t="s">
        <v>247</v>
      </c>
      <c r="H41" s="362">
        <v>3.80265176E-07</v>
      </c>
      <c r="I41" s="361"/>
      <c r="J41" s="365"/>
    </row>
    <row r="42" spans="7:10" s="345" customFormat="1" ht="12.75" hidden="1">
      <c r="G42" s="353" t="s">
        <v>248</v>
      </c>
      <c r="H42" s="362">
        <v>1.65343915E-06</v>
      </c>
      <c r="I42" s="361"/>
      <c r="J42" s="365"/>
    </row>
    <row r="43" spans="4:10" s="345" customFormat="1" ht="12.75" hidden="1">
      <c r="D43" s="365"/>
      <c r="E43" s="365"/>
      <c r="G43" s="353" t="s">
        <v>236</v>
      </c>
      <c r="H43" s="362">
        <v>1.15740741E-05</v>
      </c>
      <c r="I43" s="365"/>
      <c r="J43" s="365"/>
    </row>
    <row r="44" spans="3:10" s="345" customFormat="1" ht="12.75" hidden="1">
      <c r="C44" s="400" t="s">
        <v>27</v>
      </c>
      <c r="D44" s="348"/>
      <c r="E44" s="354"/>
      <c r="G44" s="353" t="s">
        <v>237</v>
      </c>
      <c r="H44" s="362">
        <v>0.000277777778</v>
      </c>
      <c r="I44" s="365"/>
      <c r="J44" s="365"/>
    </row>
    <row r="45" spans="3:10" s="345" customFormat="1" ht="12.75" hidden="1">
      <c r="C45" s="359" t="s">
        <v>249</v>
      </c>
      <c r="D45" s="399" t="str">
        <f>J9</f>
        <v>m</v>
      </c>
      <c r="E45" s="354"/>
      <c r="G45" s="353" t="s">
        <v>266</v>
      </c>
      <c r="H45" s="362">
        <v>0.0166666667</v>
      </c>
      <c r="I45" s="365"/>
      <c r="J45" s="365"/>
    </row>
    <row r="46" spans="3:10" s="345" customFormat="1" ht="12.75" hidden="1">
      <c r="C46" s="359" t="s">
        <v>257</v>
      </c>
      <c r="D46" s="382">
        <f>299792458/D20/SQRT(C9)</f>
        <v>0.0009993081933333333</v>
      </c>
      <c r="E46" s="354"/>
      <c r="G46" s="353" t="s">
        <v>238</v>
      </c>
      <c r="H46" s="362">
        <v>1</v>
      </c>
      <c r="I46" s="365"/>
      <c r="J46" s="365"/>
    </row>
    <row r="47" spans="3:8" ht="12.75" hidden="1">
      <c r="C47" s="359" t="s">
        <v>271</v>
      </c>
      <c r="D47" s="350">
        <f>IF(J9="km",D51,IF(J9="cm",D53,IF(J9="mm",D54,IF(J9="mi",D55,IF(J9="yd",D56,IF(J9="ft",D57,IF(J9="in",D58,IF(DJ9="nmi",D59,D52))))))))</f>
        <v>0.0009993081933333333</v>
      </c>
      <c r="E47" s="361"/>
      <c r="G47" s="353" t="s">
        <v>239</v>
      </c>
      <c r="H47" s="362">
        <v>1000</v>
      </c>
    </row>
    <row r="48" spans="3:8" ht="12.75" hidden="1">
      <c r="C48" s="359" t="s">
        <v>267</v>
      </c>
      <c r="D48" s="382">
        <f>IF(J9="au",D60,IF(J9="ly",D61,D47))</f>
        <v>0.0009993081933333333</v>
      </c>
      <c r="E48" s="361"/>
      <c r="G48" s="353" t="s">
        <v>240</v>
      </c>
      <c r="H48" s="362">
        <v>1000000</v>
      </c>
    </row>
    <row r="49" spans="3:8" ht="12.75" hidden="1">
      <c r="C49" s="396" t="s">
        <v>17</v>
      </c>
      <c r="D49" s="382"/>
      <c r="E49" s="361"/>
      <c r="G49" s="363" t="s">
        <v>241</v>
      </c>
      <c r="H49" s="362">
        <v>1000000000</v>
      </c>
    </row>
    <row r="50" spans="3:8" ht="12.75" hidden="1">
      <c r="C50" s="359"/>
      <c r="D50" s="382" t="s">
        <v>9</v>
      </c>
      <c r="E50" s="361"/>
      <c r="G50" s="353" t="s">
        <v>242</v>
      </c>
      <c r="H50" s="362">
        <v>1000000000000</v>
      </c>
    </row>
    <row r="51" spans="3:8" ht="12.75" hidden="1">
      <c r="C51" s="387" t="s">
        <v>40</v>
      </c>
      <c r="D51" s="362">
        <f>D46/1000</f>
        <v>9.993081933333332E-07</v>
      </c>
      <c r="E51" s="361"/>
      <c r="G51" s="355" t="s">
        <v>243</v>
      </c>
      <c r="H51" s="364">
        <v>1000000000000000</v>
      </c>
    </row>
    <row r="52" spans="3:5" ht="12.75" hidden="1">
      <c r="C52" s="387" t="s">
        <v>9</v>
      </c>
      <c r="D52" s="362">
        <f>D46</f>
        <v>0.0009993081933333333</v>
      </c>
      <c r="E52" s="361"/>
    </row>
    <row r="53" spans="3:5" ht="12.75" hidden="1">
      <c r="C53" s="387" t="s">
        <v>74</v>
      </c>
      <c r="D53" s="362">
        <f>D46/0.01</f>
        <v>0.09993081933333332</v>
      </c>
      <c r="E53" s="361"/>
    </row>
    <row r="54" spans="3:5" ht="12.75" hidden="1">
      <c r="C54" s="387" t="s">
        <v>69</v>
      </c>
      <c r="D54" s="362">
        <f>D46/0.001</f>
        <v>0.9993081933333332</v>
      </c>
      <c r="E54" s="361"/>
    </row>
    <row r="55" spans="3:5" ht="12.75" hidden="1">
      <c r="C55" s="389" t="s">
        <v>244</v>
      </c>
      <c r="D55" s="362">
        <f>D46/1609.344</f>
        <v>6.209413235040694E-07</v>
      </c>
      <c r="E55" s="361"/>
    </row>
    <row r="56" spans="3:5" ht="12.75" hidden="1">
      <c r="C56" s="389" t="s">
        <v>245</v>
      </c>
      <c r="D56" s="362">
        <f>D46/0.9144</f>
        <v>0.0010928567293671623</v>
      </c>
      <c r="E56" s="361"/>
    </row>
    <row r="57" spans="3:5" ht="12.75" hidden="1">
      <c r="C57" s="387" t="s">
        <v>41</v>
      </c>
      <c r="D57" s="362">
        <f>D46/0.3048</f>
        <v>0.003278570188101487</v>
      </c>
      <c r="E57" s="361"/>
    </row>
    <row r="58" spans="3:5" ht="12.75" hidden="1">
      <c r="C58" s="387" t="s">
        <v>72</v>
      </c>
      <c r="D58" s="362">
        <f>D46/0.0254</f>
        <v>0.03934284225721785</v>
      </c>
      <c r="E58" s="361"/>
    </row>
    <row r="59" spans="3:5" ht="12.75" hidden="1">
      <c r="C59" s="389" t="s">
        <v>71</v>
      </c>
      <c r="D59" s="362">
        <f>D46/1852</f>
        <v>5.395832577393808E-07</v>
      </c>
      <c r="E59" s="366"/>
    </row>
    <row r="60" spans="3:4" ht="12.75" hidden="1">
      <c r="C60" s="387" t="s">
        <v>252</v>
      </c>
      <c r="D60" s="362">
        <f>D46/149598000000</f>
        <v>6.679956906732264E-15</v>
      </c>
    </row>
    <row r="61" spans="3:4" ht="12.75" hidden="1">
      <c r="C61" s="388" t="s">
        <v>253</v>
      </c>
      <c r="D61" s="364">
        <f>D46/9460528400000000</f>
        <v>1.0562921552387426E-19</v>
      </c>
    </row>
    <row r="62" ht="12" hidden="1"/>
    <row r="63" ht="12" hidden="1"/>
    <row r="64" ht="12.75" hidden="1">
      <c r="C64" s="379"/>
    </row>
    <row r="65" ht="12.75" hidden="1">
      <c r="C65" s="379"/>
    </row>
    <row r="66" ht="12.75" hidden="1">
      <c r="C66" s="379"/>
    </row>
    <row r="67" ht="12.75" hidden="1">
      <c r="C67" s="379"/>
    </row>
  </sheetData>
  <sheetProtection password="F39F" sheet="1" objects="1" scenarios="1"/>
  <mergeCells count="8">
    <mergeCell ref="C3:J3"/>
    <mergeCell ref="C6:D6"/>
    <mergeCell ref="C8:D8"/>
    <mergeCell ref="I10:J10"/>
    <mergeCell ref="F8:G8"/>
    <mergeCell ref="F6:G6"/>
    <mergeCell ref="I8:J8"/>
    <mergeCell ref="I6:J6"/>
  </mergeCells>
  <dataValidations count="8">
    <dataValidation type="list" showInputMessage="1" showErrorMessage="1" sqref="J7">
      <formula1>$C$21:$C$24</formula1>
    </dataValidation>
    <dataValidation type="decimal" operator="greaterThan" allowBlank="1" showInputMessage="1" showErrorMessage="1" sqref="I7">
      <formula1>0</formula1>
    </dataValidation>
    <dataValidation type="decimal" operator="greaterThan" showInputMessage="1" showErrorMessage="1" sqref="C7">
      <formula1>0</formula1>
    </dataValidation>
    <dataValidation type="decimal" allowBlank="1" showInputMessage="1" showErrorMessage="1" sqref="C9">
      <formula1>0.01</formula1>
      <formula2>100</formula2>
    </dataValidation>
    <dataValidation type="list" showInputMessage="1" showErrorMessage="1" error="Please choose from dropdown list" sqref="D7">
      <formula1>$C$31:$C$41</formula1>
    </dataValidation>
    <dataValidation type="list" showInputMessage="1" showErrorMessage="1" error="Please choose from dropdown list" sqref="G7">
      <formula1>$G$23:$G$30</formula1>
    </dataValidation>
    <dataValidation type="list" showInputMessage="1" showErrorMessage="1" error="Please choose from dropdown list" sqref="G9">
      <formula1>$G$40:$G$51</formula1>
    </dataValidation>
    <dataValidation type="list" showInputMessage="1" showErrorMessage="1" error="Please choose from dropdown list" sqref="J9">
      <formula1>$C$51:$C$61</formula1>
    </dataValidation>
  </dataValidations>
  <hyperlinks>
    <hyperlink ref="C4" r:id="rId1" display="Click here for the online version"/>
    <hyperlink ref="J4" r:id="rId2" tooltip="Click here to check for updates to this calculator" display="Click here to check for Updates"/>
    <hyperlink ref="J13" location="Home!D7" tooltip="Click to return to title page with calculator list" display="Home"/>
  </hyperlinks>
  <printOptions/>
  <pageMargins left="0.5" right="0.5" top="0.5" bottom="0.5" header="0.5" footer="0.5"/>
  <pageSetup fitToHeight="1" fitToWidth="1" horizontalDpi="600" verticalDpi="600" orientation="portrait" r:id="rId5"/>
  <legacyDrawing r:id="rId4"/>
</worksheet>
</file>

<file path=xl/worksheets/sheet14.xml><?xml version="1.0" encoding="utf-8"?>
<worksheet xmlns="http://schemas.openxmlformats.org/spreadsheetml/2006/main" xmlns:r="http://schemas.openxmlformats.org/officeDocument/2006/relationships">
  <sheetPr codeName="Sheet10">
    <pageSetUpPr fitToPage="1"/>
  </sheetPr>
  <dimension ref="A2:IV36"/>
  <sheetViews>
    <sheetView showGridLines="0" showRowColHeaders="0" workbookViewId="0" topLeftCell="A1">
      <selection activeCell="C8" sqref="C8"/>
    </sheetView>
  </sheetViews>
  <sheetFormatPr defaultColWidth="9.140625" defaultRowHeight="12" zeroHeight="1"/>
  <cols>
    <col min="1" max="1" width="0.5625" style="149" customWidth="1"/>
    <col min="2" max="2" width="1.1484375" style="149" customWidth="1"/>
    <col min="3" max="3" width="9.140625" style="149" customWidth="1"/>
    <col min="4" max="6" width="5.7109375" style="149" customWidth="1"/>
    <col min="7" max="7" width="10.00390625" style="149" bestFit="1" customWidth="1"/>
    <col min="8" max="9" width="5.7109375" style="149" customWidth="1"/>
    <col min="10" max="10" width="9.140625" style="149" customWidth="1"/>
    <col min="11" max="11" width="5.7109375" style="149" customWidth="1"/>
    <col min="12" max="12" width="1.1484375" style="149" customWidth="1"/>
    <col min="13" max="13" width="0.5625" style="149" customWidth="1"/>
    <col min="14" max="16384" width="0" style="149" hidden="1" customWidth="1"/>
  </cols>
  <sheetData>
    <row r="1" ht="3" customHeight="1" thickBot="1"/>
    <row r="2" spans="2:12" ht="6" customHeight="1" thickTop="1">
      <c r="B2" s="150"/>
      <c r="C2" s="151"/>
      <c r="D2" s="151"/>
      <c r="E2" s="151"/>
      <c r="F2" s="151"/>
      <c r="G2" s="151"/>
      <c r="H2" s="151"/>
      <c r="I2" s="151"/>
      <c r="J2" s="151"/>
      <c r="K2" s="151"/>
      <c r="L2" s="152"/>
    </row>
    <row r="3" spans="2:12" ht="12.75">
      <c r="B3" s="153"/>
      <c r="C3" s="485" t="s">
        <v>92</v>
      </c>
      <c r="D3" s="485"/>
      <c r="E3" s="485"/>
      <c r="F3" s="485"/>
      <c r="G3" s="485"/>
      <c r="H3" s="485"/>
      <c r="I3" s="485"/>
      <c r="J3" s="485"/>
      <c r="K3" s="485"/>
      <c r="L3" s="154"/>
    </row>
    <row r="4" spans="2:12" ht="12.75">
      <c r="B4" s="153"/>
      <c r="C4" s="249" t="s">
        <v>131</v>
      </c>
      <c r="E4" s="167"/>
      <c r="F4" s="167"/>
      <c r="G4" s="167"/>
      <c r="H4" s="167"/>
      <c r="J4" s="167"/>
      <c r="K4" s="248" t="s">
        <v>132</v>
      </c>
      <c r="L4" s="154"/>
    </row>
    <row r="5" spans="2:12" ht="12">
      <c r="B5" s="153"/>
      <c r="C5" s="5"/>
      <c r="D5" s="5"/>
      <c r="E5" s="5"/>
      <c r="F5" s="5"/>
      <c r="G5" s="5"/>
      <c r="H5" s="5"/>
      <c r="J5" s="5"/>
      <c r="K5" s="5"/>
      <c r="L5" s="154"/>
    </row>
    <row r="6" spans="2:12" ht="12.75" thickBot="1">
      <c r="B6" s="153"/>
      <c r="C6" s="515" t="s">
        <v>28</v>
      </c>
      <c r="D6" s="515"/>
      <c r="E6" s="78"/>
      <c r="F6" s="515" t="s">
        <v>43</v>
      </c>
      <c r="G6" s="515"/>
      <c r="H6" s="515"/>
      <c r="I6" s="149" t="s">
        <v>6</v>
      </c>
      <c r="L6" s="154"/>
    </row>
    <row r="7" spans="2:12" ht="12">
      <c r="B7" s="153"/>
      <c r="C7" s="514" t="s">
        <v>8</v>
      </c>
      <c r="D7" s="514"/>
      <c r="E7" s="75"/>
      <c r="F7" s="5"/>
      <c r="G7" s="82" t="s">
        <v>94</v>
      </c>
      <c r="H7" s="82"/>
      <c r="L7" s="154"/>
    </row>
    <row r="8" spans="2:12" ht="12">
      <c r="B8" s="153"/>
      <c r="C8" s="71">
        <v>3</v>
      </c>
      <c r="D8" s="71" t="s">
        <v>46</v>
      </c>
      <c r="F8" s="67" t="s">
        <v>101</v>
      </c>
      <c r="G8" s="5">
        <f>G28</f>
        <v>53.27676555643607</v>
      </c>
      <c r="H8" s="76" t="s">
        <v>106</v>
      </c>
      <c r="L8" s="154"/>
    </row>
    <row r="9" spans="2:12" ht="12">
      <c r="B9" s="153"/>
      <c r="C9" s="514" t="s">
        <v>27</v>
      </c>
      <c r="D9" s="514"/>
      <c r="F9" s="67" t="s">
        <v>102</v>
      </c>
      <c r="G9" s="5">
        <f>2*G8</f>
        <v>106.55353111287214</v>
      </c>
      <c r="H9" s="149" t="str">
        <f>H8</f>
        <v>ft/s</v>
      </c>
      <c r="L9" s="154"/>
    </row>
    <row r="10" spans="2:12" ht="12">
      <c r="B10" s="153"/>
      <c r="C10" s="5">
        <f>C28</f>
        <v>0.32785701880883733</v>
      </c>
      <c r="D10" s="76" t="s">
        <v>41</v>
      </c>
      <c r="F10" s="67" t="s">
        <v>103</v>
      </c>
      <c r="G10" s="5">
        <f>3*G8</f>
        <v>159.8302966693082</v>
      </c>
      <c r="H10" s="149" t="str">
        <f>H8</f>
        <v>ft/s</v>
      </c>
      <c r="L10" s="154"/>
    </row>
    <row r="11" spans="2:12" ht="12">
      <c r="B11" s="153"/>
      <c r="C11" s="519" t="s">
        <v>95</v>
      </c>
      <c r="D11" s="519"/>
      <c r="E11" s="79"/>
      <c r="F11" s="67" t="s">
        <v>104</v>
      </c>
      <c r="G11" s="5">
        <f>4*G8</f>
        <v>213.10706222574427</v>
      </c>
      <c r="H11" s="149" t="str">
        <f>H8</f>
        <v>ft/s</v>
      </c>
      <c r="L11" s="154"/>
    </row>
    <row r="12" spans="2:12" ht="12">
      <c r="B12" s="153"/>
      <c r="C12" s="71">
        <v>325</v>
      </c>
      <c r="D12" s="149" t="s">
        <v>96</v>
      </c>
      <c r="F12" s="67" t="s">
        <v>105</v>
      </c>
      <c r="G12" s="5">
        <f>5*G8</f>
        <v>266.38382778218033</v>
      </c>
      <c r="H12" s="5" t="str">
        <f>H8</f>
        <v>ft/s</v>
      </c>
      <c r="L12" s="154"/>
    </row>
    <row r="13" spans="2:12" ht="12">
      <c r="B13" s="153"/>
      <c r="C13" s="5"/>
      <c r="F13" s="5"/>
      <c r="L13" s="154"/>
    </row>
    <row r="14" spans="2:12" ht="12">
      <c r="B14" s="153"/>
      <c r="C14" s="169" t="str">
        <f>Home!$D$7&amp;", "&amp;Home!$D$8&amp;", "&amp;Home!$D$9</f>
        <v>RF Cafe Calculator Workbook, v6.0, by RF Cafe</v>
      </c>
      <c r="F14" s="5"/>
      <c r="G14" s="5"/>
      <c r="H14" s="5"/>
      <c r="K14" s="420" t="s">
        <v>197</v>
      </c>
      <c r="L14" s="154"/>
    </row>
    <row r="15" spans="2:12" s="173" customFormat="1" ht="6" customHeight="1" thickBot="1">
      <c r="B15" s="170"/>
      <c r="C15" s="74"/>
      <c r="D15" s="74"/>
      <c r="E15" s="74"/>
      <c r="F15" s="159"/>
      <c r="G15" s="171"/>
      <c r="H15" s="159"/>
      <c r="I15" s="159"/>
      <c r="J15" s="159"/>
      <c r="K15" s="159"/>
      <c r="L15" s="172"/>
    </row>
    <row r="16" spans="6:10" s="173" customFormat="1" ht="3" customHeight="1" thickTop="1">
      <c r="F16" s="149"/>
      <c r="H16" s="149"/>
      <c r="I16" s="149"/>
      <c r="J16" s="149"/>
    </row>
    <row r="17" spans="6:10" s="173" customFormat="1" ht="12" hidden="1">
      <c r="F17" s="149"/>
      <c r="H17" s="149"/>
      <c r="I17" s="149"/>
      <c r="J17" s="149"/>
    </row>
    <row r="18" spans="1:256" s="175" customFormat="1" ht="12" hidden="1">
      <c r="A18" s="173"/>
      <c r="B18" s="173"/>
      <c r="C18" s="173" t="s">
        <v>46</v>
      </c>
      <c r="D18" s="173" t="s">
        <v>72</v>
      </c>
      <c r="E18" s="173"/>
      <c r="F18" s="173" t="s">
        <v>99</v>
      </c>
      <c r="G18" s="174" t="s">
        <v>84</v>
      </c>
      <c r="H18" s="173"/>
      <c r="I18" s="149"/>
      <c r="J18" s="173"/>
      <c r="K18" s="149"/>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173"/>
      <c r="CJ18" s="173"/>
      <c r="CK18" s="173"/>
      <c r="CL18" s="173"/>
      <c r="CM18" s="173"/>
      <c r="CN18" s="173"/>
      <c r="CO18" s="173"/>
      <c r="CP18" s="173"/>
      <c r="CQ18" s="173"/>
      <c r="CR18" s="173"/>
      <c r="CS18" s="173"/>
      <c r="CT18" s="173"/>
      <c r="CU18" s="173"/>
      <c r="CV18" s="173"/>
      <c r="CW18" s="173"/>
      <c r="CX18" s="173"/>
      <c r="CY18" s="173"/>
      <c r="CZ18" s="173"/>
      <c r="DA18" s="173"/>
      <c r="DB18" s="173"/>
      <c r="DC18" s="173"/>
      <c r="DD18" s="173"/>
      <c r="DE18" s="173"/>
      <c r="DF18" s="173"/>
      <c r="DG18" s="173"/>
      <c r="DH18" s="173"/>
      <c r="DI18" s="173"/>
      <c r="DJ18" s="173"/>
      <c r="DK18" s="173"/>
      <c r="DL18" s="173"/>
      <c r="DM18" s="173"/>
      <c r="DN18" s="173"/>
      <c r="DO18" s="173"/>
      <c r="DP18" s="173"/>
      <c r="DQ18" s="173"/>
      <c r="DR18" s="173"/>
      <c r="DS18" s="173"/>
      <c r="DT18" s="173"/>
      <c r="DU18" s="173"/>
      <c r="DV18" s="173"/>
      <c r="DW18" s="173"/>
      <c r="DX18" s="173"/>
      <c r="DY18" s="173"/>
      <c r="DZ18" s="173"/>
      <c r="EA18" s="173"/>
      <c r="EB18" s="173"/>
      <c r="EC18" s="173"/>
      <c r="ED18" s="173"/>
      <c r="EE18" s="173"/>
      <c r="EF18" s="173"/>
      <c r="EG18" s="173"/>
      <c r="EH18" s="173"/>
      <c r="EI18" s="173"/>
      <c r="EJ18" s="173"/>
      <c r="EK18" s="173"/>
      <c r="EL18" s="173"/>
      <c r="EM18" s="173"/>
      <c r="EN18" s="173"/>
      <c r="EO18" s="173"/>
      <c r="EP18" s="173"/>
      <c r="EQ18" s="173"/>
      <c r="ER18" s="173"/>
      <c r="ES18" s="173"/>
      <c r="ET18" s="173"/>
      <c r="EU18" s="173"/>
      <c r="EV18" s="173"/>
      <c r="EW18" s="173"/>
      <c r="EX18" s="173"/>
      <c r="EY18" s="173"/>
      <c r="EZ18" s="173"/>
      <c r="FA18" s="173"/>
      <c r="FB18" s="173"/>
      <c r="FC18" s="173"/>
      <c r="FD18" s="173"/>
      <c r="FE18" s="173"/>
      <c r="FF18" s="173"/>
      <c r="FG18" s="173"/>
      <c r="FH18" s="173"/>
      <c r="FI18" s="173"/>
      <c r="FJ18" s="173"/>
      <c r="FK18" s="173"/>
      <c r="FL18" s="173"/>
      <c r="FM18" s="173"/>
      <c r="FN18" s="173"/>
      <c r="FO18" s="173"/>
      <c r="FP18" s="173"/>
      <c r="FQ18" s="173"/>
      <c r="FR18" s="173"/>
      <c r="FS18" s="173"/>
      <c r="FT18" s="173"/>
      <c r="FU18" s="173"/>
      <c r="FV18" s="173"/>
      <c r="FW18" s="173"/>
      <c r="FX18" s="173"/>
      <c r="FY18" s="173"/>
      <c r="FZ18" s="173"/>
      <c r="GA18" s="173"/>
      <c r="GB18" s="173"/>
      <c r="GC18" s="173"/>
      <c r="GD18" s="173"/>
      <c r="GE18" s="173"/>
      <c r="GF18" s="173"/>
      <c r="GG18" s="173"/>
      <c r="GH18" s="173"/>
      <c r="GI18" s="173"/>
      <c r="GJ18" s="173"/>
      <c r="GK18" s="173"/>
      <c r="GL18" s="173"/>
      <c r="GM18" s="173"/>
      <c r="GN18" s="173"/>
      <c r="GO18" s="173"/>
      <c r="GP18" s="173"/>
      <c r="GQ18" s="173"/>
      <c r="GR18" s="173"/>
      <c r="GS18" s="173"/>
      <c r="GT18" s="173"/>
      <c r="GU18" s="173"/>
      <c r="GV18" s="173"/>
      <c r="GW18" s="173"/>
      <c r="GX18" s="173"/>
      <c r="GY18" s="173"/>
      <c r="GZ18" s="173"/>
      <c r="HA18" s="173"/>
      <c r="HB18" s="173"/>
      <c r="HC18" s="173"/>
      <c r="HD18" s="173"/>
      <c r="HE18" s="173"/>
      <c r="HF18" s="173"/>
      <c r="HG18" s="173"/>
      <c r="HH18" s="173"/>
      <c r="HI18" s="173"/>
      <c r="HJ18" s="173"/>
      <c r="HK18" s="173"/>
      <c r="HL18" s="173"/>
      <c r="HM18" s="173"/>
      <c r="HN18" s="173"/>
      <c r="HO18" s="173"/>
      <c r="HP18" s="173"/>
      <c r="HQ18" s="173"/>
      <c r="HR18" s="173"/>
      <c r="HS18" s="173"/>
      <c r="HT18" s="173"/>
      <c r="HU18" s="173"/>
      <c r="HV18" s="173"/>
      <c r="HW18" s="173"/>
      <c r="HX18" s="173"/>
      <c r="HY18" s="173"/>
      <c r="HZ18" s="173"/>
      <c r="IA18" s="173"/>
      <c r="IB18" s="173"/>
      <c r="IC18" s="173"/>
      <c r="ID18" s="173"/>
      <c r="IE18" s="173"/>
      <c r="IF18" s="173"/>
      <c r="IG18" s="173"/>
      <c r="IH18" s="173"/>
      <c r="II18" s="173"/>
      <c r="IJ18" s="173"/>
      <c r="IK18" s="173"/>
      <c r="IL18" s="173"/>
      <c r="IM18" s="173"/>
      <c r="IN18" s="173"/>
      <c r="IO18" s="173"/>
      <c r="IP18" s="173"/>
      <c r="IQ18" s="173"/>
      <c r="IR18" s="173"/>
      <c r="IS18" s="173"/>
      <c r="IT18" s="173"/>
      <c r="IU18" s="173"/>
      <c r="IV18" s="173"/>
    </row>
    <row r="19" spans="1:256" s="175" customFormat="1" ht="12" hidden="1">
      <c r="A19" s="173"/>
      <c r="B19" s="173"/>
      <c r="C19" s="173" t="s">
        <v>37</v>
      </c>
      <c r="D19" s="173" t="s">
        <v>41</v>
      </c>
      <c r="E19" s="173"/>
      <c r="F19" s="173" t="s">
        <v>93</v>
      </c>
      <c r="G19" s="176" t="s">
        <v>85</v>
      </c>
      <c r="H19" s="173"/>
      <c r="I19" s="149"/>
      <c r="J19" s="173"/>
      <c r="K19" s="149"/>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c r="CR19" s="173"/>
      <c r="CS19" s="173"/>
      <c r="CT19" s="173"/>
      <c r="CU19" s="173"/>
      <c r="CV19" s="173"/>
      <c r="CW19" s="173"/>
      <c r="CX19" s="173"/>
      <c r="CY19" s="173"/>
      <c r="CZ19" s="173"/>
      <c r="DA19" s="173"/>
      <c r="DB19" s="173"/>
      <c r="DC19" s="173"/>
      <c r="DD19" s="173"/>
      <c r="DE19" s="173"/>
      <c r="DF19" s="173"/>
      <c r="DG19" s="173"/>
      <c r="DH19" s="173"/>
      <c r="DI19" s="173"/>
      <c r="DJ19" s="173"/>
      <c r="DK19" s="173"/>
      <c r="DL19" s="173"/>
      <c r="DM19" s="173"/>
      <c r="DN19" s="173"/>
      <c r="DO19" s="173"/>
      <c r="DP19" s="173"/>
      <c r="DQ19" s="173"/>
      <c r="DR19" s="173"/>
      <c r="DS19" s="173"/>
      <c r="DT19" s="173"/>
      <c r="DU19" s="173"/>
      <c r="DV19" s="173"/>
      <c r="DW19" s="173"/>
      <c r="DX19" s="173"/>
      <c r="DY19" s="173"/>
      <c r="DZ19" s="173"/>
      <c r="EA19" s="173"/>
      <c r="EB19" s="173"/>
      <c r="EC19" s="173"/>
      <c r="ED19" s="173"/>
      <c r="EE19" s="173"/>
      <c r="EF19" s="173"/>
      <c r="EG19" s="173"/>
      <c r="EH19" s="173"/>
      <c r="EI19" s="173"/>
      <c r="EJ19" s="173"/>
      <c r="EK19" s="173"/>
      <c r="EL19" s="173"/>
      <c r="EM19" s="173"/>
      <c r="EN19" s="173"/>
      <c r="EO19" s="173"/>
      <c r="EP19" s="173"/>
      <c r="EQ19" s="173"/>
      <c r="ER19" s="173"/>
      <c r="ES19" s="173"/>
      <c r="ET19" s="173"/>
      <c r="EU19" s="173"/>
      <c r="EV19" s="173"/>
      <c r="EW19" s="173"/>
      <c r="EX19" s="173"/>
      <c r="EY19" s="173"/>
      <c r="EZ19" s="173"/>
      <c r="FA19" s="173"/>
      <c r="FB19" s="173"/>
      <c r="FC19" s="173"/>
      <c r="FD19" s="173"/>
      <c r="FE19" s="173"/>
      <c r="FF19" s="173"/>
      <c r="FG19" s="173"/>
      <c r="FH19" s="173"/>
      <c r="FI19" s="173"/>
      <c r="FJ19" s="173"/>
      <c r="FK19" s="173"/>
      <c r="FL19" s="173"/>
      <c r="FM19" s="173"/>
      <c r="FN19" s="173"/>
      <c r="FO19" s="173"/>
      <c r="FP19" s="173"/>
      <c r="FQ19" s="173"/>
      <c r="FR19" s="173"/>
      <c r="FS19" s="173"/>
      <c r="FT19" s="173"/>
      <c r="FU19" s="173"/>
      <c r="FV19" s="173"/>
      <c r="FW19" s="173"/>
      <c r="FX19" s="173"/>
      <c r="FY19" s="173"/>
      <c r="FZ19" s="173"/>
      <c r="GA19" s="173"/>
      <c r="GB19" s="173"/>
      <c r="GC19" s="173"/>
      <c r="GD19" s="173"/>
      <c r="GE19" s="173"/>
      <c r="GF19" s="173"/>
      <c r="GG19" s="173"/>
      <c r="GH19" s="173"/>
      <c r="GI19" s="173"/>
      <c r="GJ19" s="173"/>
      <c r="GK19" s="173"/>
      <c r="GL19" s="173"/>
      <c r="GM19" s="173"/>
      <c r="GN19" s="173"/>
      <c r="GO19" s="173"/>
      <c r="GP19" s="173"/>
      <c r="GQ19" s="173"/>
      <c r="GR19" s="173"/>
      <c r="GS19" s="173"/>
      <c r="GT19" s="173"/>
      <c r="GU19" s="173"/>
      <c r="GV19" s="173"/>
      <c r="GW19" s="173"/>
      <c r="GX19" s="173"/>
      <c r="GY19" s="173"/>
      <c r="GZ19" s="173"/>
      <c r="HA19" s="173"/>
      <c r="HB19" s="173"/>
      <c r="HC19" s="173"/>
      <c r="HD19" s="173"/>
      <c r="HE19" s="173"/>
      <c r="HF19" s="173"/>
      <c r="HG19" s="173"/>
      <c r="HH19" s="173"/>
      <c r="HI19" s="173"/>
      <c r="HJ19" s="173"/>
      <c r="HK19" s="173"/>
      <c r="HL19" s="173"/>
      <c r="HM19" s="173"/>
      <c r="HN19" s="173"/>
      <c r="HO19" s="173"/>
      <c r="HP19" s="173"/>
      <c r="HQ19" s="173"/>
      <c r="HR19" s="173"/>
      <c r="HS19" s="173"/>
      <c r="HT19" s="173"/>
      <c r="HU19" s="173"/>
      <c r="HV19" s="173"/>
      <c r="HW19" s="173"/>
      <c r="HX19" s="173"/>
      <c r="HY19" s="173"/>
      <c r="HZ19" s="173"/>
      <c r="IA19" s="173"/>
      <c r="IB19" s="173"/>
      <c r="IC19" s="173"/>
      <c r="ID19" s="173"/>
      <c r="IE19" s="173"/>
      <c r="IF19" s="173"/>
      <c r="IG19" s="173"/>
      <c r="IH19" s="173"/>
      <c r="II19" s="173"/>
      <c r="IJ19" s="173"/>
      <c r="IK19" s="173"/>
      <c r="IL19" s="173"/>
      <c r="IM19" s="173"/>
      <c r="IN19" s="173"/>
      <c r="IO19" s="173"/>
      <c r="IP19" s="173"/>
      <c r="IQ19" s="173"/>
      <c r="IR19" s="173"/>
      <c r="IS19" s="173"/>
      <c r="IT19" s="173"/>
      <c r="IU19" s="173"/>
      <c r="IV19" s="173"/>
    </row>
    <row r="20" spans="1:256" s="175" customFormat="1" ht="12" hidden="1">
      <c r="A20" s="173"/>
      <c r="B20" s="173"/>
      <c r="C20" s="173" t="s">
        <v>47</v>
      </c>
      <c r="D20" s="173" t="s">
        <v>9</v>
      </c>
      <c r="E20" s="173"/>
      <c r="F20" s="173" t="s">
        <v>100</v>
      </c>
      <c r="G20" s="173"/>
      <c r="H20" s="173"/>
      <c r="I20" s="149"/>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c r="CL20" s="173"/>
      <c r="CM20" s="173"/>
      <c r="CN20" s="173"/>
      <c r="CO20" s="173"/>
      <c r="CP20" s="173"/>
      <c r="CQ20" s="173"/>
      <c r="CR20" s="173"/>
      <c r="CS20" s="173"/>
      <c r="CT20" s="173"/>
      <c r="CU20" s="173"/>
      <c r="CV20" s="173"/>
      <c r="CW20" s="173"/>
      <c r="CX20" s="173"/>
      <c r="CY20" s="173"/>
      <c r="CZ20" s="173"/>
      <c r="DA20" s="173"/>
      <c r="DB20" s="173"/>
      <c r="DC20" s="173"/>
      <c r="DD20" s="173"/>
      <c r="DE20" s="173"/>
      <c r="DF20" s="173"/>
      <c r="DG20" s="173"/>
      <c r="DH20" s="173"/>
      <c r="DI20" s="173"/>
      <c r="DJ20" s="173"/>
      <c r="DK20" s="173"/>
      <c r="DL20" s="173"/>
      <c r="DM20" s="173"/>
      <c r="DN20" s="173"/>
      <c r="DO20" s="173"/>
      <c r="DP20" s="173"/>
      <c r="DQ20" s="173"/>
      <c r="DR20" s="173"/>
      <c r="DS20" s="173"/>
      <c r="DT20" s="173"/>
      <c r="DU20" s="173"/>
      <c r="DV20" s="173"/>
      <c r="DW20" s="173"/>
      <c r="DX20" s="173"/>
      <c r="DY20" s="173"/>
      <c r="DZ20" s="173"/>
      <c r="EA20" s="173"/>
      <c r="EB20" s="173"/>
      <c r="EC20" s="173"/>
      <c r="ED20" s="173"/>
      <c r="EE20" s="173"/>
      <c r="EF20" s="173"/>
      <c r="EG20" s="173"/>
      <c r="EH20" s="173"/>
      <c r="EI20" s="173"/>
      <c r="EJ20" s="173"/>
      <c r="EK20" s="173"/>
      <c r="EL20" s="173"/>
      <c r="EM20" s="173"/>
      <c r="EN20" s="173"/>
      <c r="EO20" s="173"/>
      <c r="EP20" s="173"/>
      <c r="EQ20" s="173"/>
      <c r="ER20" s="173"/>
      <c r="ES20" s="173"/>
      <c r="ET20" s="173"/>
      <c r="EU20" s="173"/>
      <c r="EV20" s="173"/>
      <c r="EW20" s="173"/>
      <c r="EX20" s="173"/>
      <c r="EY20" s="173"/>
      <c r="EZ20" s="173"/>
      <c r="FA20" s="173"/>
      <c r="FB20" s="173"/>
      <c r="FC20" s="173"/>
      <c r="FD20" s="173"/>
      <c r="FE20" s="173"/>
      <c r="FF20" s="173"/>
      <c r="FG20" s="173"/>
      <c r="FH20" s="173"/>
      <c r="FI20" s="173"/>
      <c r="FJ20" s="173"/>
      <c r="FK20" s="173"/>
      <c r="FL20" s="173"/>
      <c r="FM20" s="173"/>
      <c r="FN20" s="173"/>
      <c r="FO20" s="173"/>
      <c r="FP20" s="173"/>
      <c r="FQ20" s="173"/>
      <c r="FR20" s="173"/>
      <c r="FS20" s="173"/>
      <c r="FT20" s="173"/>
      <c r="FU20" s="173"/>
      <c r="FV20" s="173"/>
      <c r="FW20" s="173"/>
      <c r="FX20" s="173"/>
      <c r="FY20" s="173"/>
      <c r="FZ20" s="173"/>
      <c r="GA20" s="173"/>
      <c r="GB20" s="173"/>
      <c r="GC20" s="173"/>
      <c r="GD20" s="173"/>
      <c r="GE20" s="173"/>
      <c r="GF20" s="173"/>
      <c r="GG20" s="173"/>
      <c r="GH20" s="173"/>
      <c r="GI20" s="173"/>
      <c r="GJ20" s="173"/>
      <c r="GK20" s="173"/>
      <c r="GL20" s="173"/>
      <c r="GM20" s="173"/>
      <c r="GN20" s="173"/>
      <c r="GO20" s="173"/>
      <c r="GP20" s="173"/>
      <c r="GQ20" s="173"/>
      <c r="GR20" s="173"/>
      <c r="GS20" s="173"/>
      <c r="GT20" s="173"/>
      <c r="GU20" s="173"/>
      <c r="GV20" s="173"/>
      <c r="GW20" s="173"/>
      <c r="GX20" s="173"/>
      <c r="GY20" s="173"/>
      <c r="GZ20" s="173"/>
      <c r="HA20" s="173"/>
      <c r="HB20" s="173"/>
      <c r="HC20" s="173"/>
      <c r="HD20" s="173"/>
      <c r="HE20" s="173"/>
      <c r="HF20" s="173"/>
      <c r="HG20" s="173"/>
      <c r="HH20" s="173"/>
      <c r="HI20" s="173"/>
      <c r="HJ20" s="173"/>
      <c r="HK20" s="173"/>
      <c r="HL20" s="173"/>
      <c r="HM20" s="173"/>
      <c r="HN20" s="173"/>
      <c r="HO20" s="173"/>
      <c r="HP20" s="173"/>
      <c r="HQ20" s="173"/>
      <c r="HR20" s="173"/>
      <c r="HS20" s="173"/>
      <c r="HT20" s="173"/>
      <c r="HU20" s="173"/>
      <c r="HV20" s="173"/>
      <c r="HW20" s="173"/>
      <c r="HX20" s="173"/>
      <c r="HY20" s="173"/>
      <c r="HZ20" s="173"/>
      <c r="IA20" s="173"/>
      <c r="IB20" s="173"/>
      <c r="IC20" s="173"/>
      <c r="ID20" s="173"/>
      <c r="IE20" s="173"/>
      <c r="IF20" s="173"/>
      <c r="IG20" s="173"/>
      <c r="IH20" s="173"/>
      <c r="II20" s="173"/>
      <c r="IJ20" s="173"/>
      <c r="IK20" s="173"/>
      <c r="IL20" s="173"/>
      <c r="IM20" s="173"/>
      <c r="IN20" s="173"/>
      <c r="IO20" s="173"/>
      <c r="IP20" s="173"/>
      <c r="IQ20" s="173"/>
      <c r="IR20" s="173"/>
      <c r="IS20" s="173"/>
      <c r="IT20" s="173"/>
      <c r="IU20" s="173"/>
      <c r="IV20" s="173"/>
    </row>
    <row r="21" spans="1:256" s="175" customFormat="1" ht="12" hidden="1">
      <c r="A21" s="173"/>
      <c r="B21" s="173"/>
      <c r="C21" s="173" t="s">
        <v>65</v>
      </c>
      <c r="D21" s="173" t="s">
        <v>74</v>
      </c>
      <c r="E21" s="173"/>
      <c r="F21" s="175" t="s">
        <v>106</v>
      </c>
      <c r="G21" s="173"/>
      <c r="H21" s="173"/>
      <c r="I21" s="149"/>
      <c r="J21" s="149"/>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73"/>
      <c r="CO21" s="173"/>
      <c r="CP21" s="173"/>
      <c r="CQ21" s="173"/>
      <c r="CR21" s="173"/>
      <c r="CS21" s="173"/>
      <c r="CT21" s="173"/>
      <c r="CU21" s="173"/>
      <c r="CV21" s="173"/>
      <c r="CW21" s="173"/>
      <c r="CX21" s="173"/>
      <c r="CY21" s="173"/>
      <c r="CZ21" s="173"/>
      <c r="DA21" s="173"/>
      <c r="DB21" s="173"/>
      <c r="DC21" s="173"/>
      <c r="DD21" s="173"/>
      <c r="DE21" s="173"/>
      <c r="DF21" s="173"/>
      <c r="DG21" s="173"/>
      <c r="DH21" s="173"/>
      <c r="DI21" s="173"/>
      <c r="DJ21" s="173"/>
      <c r="DK21" s="173"/>
      <c r="DL21" s="173"/>
      <c r="DM21" s="173"/>
      <c r="DN21" s="173"/>
      <c r="DO21" s="173"/>
      <c r="DP21" s="173"/>
      <c r="DQ21" s="173"/>
      <c r="DR21" s="173"/>
      <c r="DS21" s="173"/>
      <c r="DT21" s="173"/>
      <c r="DU21" s="173"/>
      <c r="DV21" s="173"/>
      <c r="DW21" s="173"/>
      <c r="DX21" s="173"/>
      <c r="DY21" s="173"/>
      <c r="DZ21" s="173"/>
      <c r="EA21" s="173"/>
      <c r="EB21" s="173"/>
      <c r="EC21" s="173"/>
      <c r="ED21" s="173"/>
      <c r="EE21" s="173"/>
      <c r="EF21" s="173"/>
      <c r="EG21" s="173"/>
      <c r="EH21" s="173"/>
      <c r="EI21" s="173"/>
      <c r="EJ21" s="173"/>
      <c r="EK21" s="173"/>
      <c r="EL21" s="173"/>
      <c r="EM21" s="173"/>
      <c r="EN21" s="173"/>
      <c r="EO21" s="173"/>
      <c r="EP21" s="173"/>
      <c r="EQ21" s="173"/>
      <c r="ER21" s="173"/>
      <c r="ES21" s="173"/>
      <c r="ET21" s="173"/>
      <c r="EU21" s="173"/>
      <c r="EV21" s="173"/>
      <c r="EW21" s="173"/>
      <c r="EX21" s="173"/>
      <c r="EY21" s="173"/>
      <c r="EZ21" s="173"/>
      <c r="FA21" s="173"/>
      <c r="FB21" s="173"/>
      <c r="FC21" s="173"/>
      <c r="FD21" s="173"/>
      <c r="FE21" s="173"/>
      <c r="FF21" s="173"/>
      <c r="FG21" s="173"/>
      <c r="FH21" s="173"/>
      <c r="FI21" s="173"/>
      <c r="FJ21" s="173"/>
      <c r="FK21" s="173"/>
      <c r="FL21" s="173"/>
      <c r="FM21" s="173"/>
      <c r="FN21" s="173"/>
      <c r="FO21" s="173"/>
      <c r="FP21" s="173"/>
      <c r="FQ21" s="173"/>
      <c r="FR21" s="173"/>
      <c r="FS21" s="173"/>
      <c r="FT21" s="173"/>
      <c r="FU21" s="173"/>
      <c r="FV21" s="173"/>
      <c r="FW21" s="173"/>
      <c r="FX21" s="173"/>
      <c r="FY21" s="173"/>
      <c r="FZ21" s="173"/>
      <c r="GA21" s="173"/>
      <c r="GB21" s="173"/>
      <c r="GC21" s="173"/>
      <c r="GD21" s="173"/>
      <c r="GE21" s="173"/>
      <c r="GF21" s="173"/>
      <c r="GG21" s="173"/>
      <c r="GH21" s="173"/>
      <c r="GI21" s="173"/>
      <c r="GJ21" s="173"/>
      <c r="GK21" s="173"/>
      <c r="GL21" s="173"/>
      <c r="GM21" s="173"/>
      <c r="GN21" s="173"/>
      <c r="GO21" s="173"/>
      <c r="GP21" s="173"/>
      <c r="GQ21" s="173"/>
      <c r="GR21" s="173"/>
      <c r="GS21" s="173"/>
      <c r="GT21" s="173"/>
      <c r="GU21" s="173"/>
      <c r="GV21" s="173"/>
      <c r="GW21" s="173"/>
      <c r="GX21" s="173"/>
      <c r="GY21" s="173"/>
      <c r="GZ21" s="173"/>
      <c r="HA21" s="173"/>
      <c r="HB21" s="173"/>
      <c r="HC21" s="173"/>
      <c r="HD21" s="173"/>
      <c r="HE21" s="173"/>
      <c r="HF21" s="173"/>
      <c r="HG21" s="173"/>
      <c r="HH21" s="173"/>
      <c r="HI21" s="173"/>
      <c r="HJ21" s="173"/>
      <c r="HK21" s="173"/>
      <c r="HL21" s="173"/>
      <c r="HM21" s="173"/>
      <c r="HN21" s="173"/>
      <c r="HO21" s="173"/>
      <c r="HP21" s="173"/>
      <c r="HQ21" s="173"/>
      <c r="HR21" s="173"/>
      <c r="HS21" s="173"/>
      <c r="HT21" s="173"/>
      <c r="HU21" s="173"/>
      <c r="HV21" s="173"/>
      <c r="HW21" s="173"/>
      <c r="HX21" s="173"/>
      <c r="HY21" s="173"/>
      <c r="HZ21" s="173"/>
      <c r="IA21" s="173"/>
      <c r="IB21" s="173"/>
      <c r="IC21" s="173"/>
      <c r="ID21" s="173"/>
      <c r="IE21" s="173"/>
      <c r="IF21" s="173"/>
      <c r="IG21" s="173"/>
      <c r="IH21" s="173"/>
      <c r="II21" s="173"/>
      <c r="IJ21" s="173"/>
      <c r="IK21" s="173"/>
      <c r="IL21" s="173"/>
      <c r="IM21" s="173"/>
      <c r="IN21" s="173"/>
      <c r="IO21" s="173"/>
      <c r="IP21" s="173"/>
      <c r="IQ21" s="173"/>
      <c r="IR21" s="173"/>
      <c r="IS21" s="173"/>
      <c r="IT21" s="173"/>
      <c r="IU21" s="173"/>
      <c r="IV21" s="173"/>
    </row>
    <row r="22" spans="1:256" s="175" customFormat="1" ht="12" hidden="1">
      <c r="A22" s="173"/>
      <c r="B22" s="173"/>
      <c r="C22" s="173"/>
      <c r="D22" s="173" t="s">
        <v>69</v>
      </c>
      <c r="E22" s="173"/>
      <c r="F22" s="175" t="s">
        <v>107</v>
      </c>
      <c r="G22" s="173"/>
      <c r="H22" s="173"/>
      <c r="I22" s="149"/>
      <c r="J22" s="149"/>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c r="CA22" s="173"/>
      <c r="CB22" s="173"/>
      <c r="CC22" s="173"/>
      <c r="CD22" s="173"/>
      <c r="CE22" s="173"/>
      <c r="CF22" s="173"/>
      <c r="CG22" s="173"/>
      <c r="CH22" s="173"/>
      <c r="CI22" s="173"/>
      <c r="CJ22" s="173"/>
      <c r="CK22" s="173"/>
      <c r="CL22" s="173"/>
      <c r="CM22" s="173"/>
      <c r="CN22" s="173"/>
      <c r="CO22" s="173"/>
      <c r="CP22" s="173"/>
      <c r="CQ22" s="173"/>
      <c r="CR22" s="173"/>
      <c r="CS22" s="173"/>
      <c r="CT22" s="173"/>
      <c r="CU22" s="173"/>
      <c r="CV22" s="173"/>
      <c r="CW22" s="173"/>
      <c r="CX22" s="173"/>
      <c r="CY22" s="173"/>
      <c r="CZ22" s="173"/>
      <c r="DA22" s="173"/>
      <c r="DB22" s="173"/>
      <c r="DC22" s="173"/>
      <c r="DD22" s="173"/>
      <c r="DE22" s="173"/>
      <c r="DF22" s="173"/>
      <c r="DG22" s="173"/>
      <c r="DH22" s="173"/>
      <c r="DI22" s="173"/>
      <c r="DJ22" s="173"/>
      <c r="DK22" s="173"/>
      <c r="DL22" s="173"/>
      <c r="DM22" s="173"/>
      <c r="DN22" s="173"/>
      <c r="DO22" s="173"/>
      <c r="DP22" s="173"/>
      <c r="DQ22" s="173"/>
      <c r="DR22" s="173"/>
      <c r="DS22" s="173"/>
      <c r="DT22" s="173"/>
      <c r="DU22" s="173"/>
      <c r="DV22" s="173"/>
      <c r="DW22" s="173"/>
      <c r="DX22" s="173"/>
      <c r="DY22" s="173"/>
      <c r="DZ22" s="173"/>
      <c r="EA22" s="173"/>
      <c r="EB22" s="173"/>
      <c r="EC22" s="173"/>
      <c r="ED22" s="173"/>
      <c r="EE22" s="173"/>
      <c r="EF22" s="173"/>
      <c r="EG22" s="173"/>
      <c r="EH22" s="173"/>
      <c r="EI22" s="173"/>
      <c r="EJ22" s="173"/>
      <c r="EK22" s="173"/>
      <c r="EL22" s="173"/>
      <c r="EM22" s="173"/>
      <c r="EN22" s="173"/>
      <c r="EO22" s="173"/>
      <c r="EP22" s="173"/>
      <c r="EQ22" s="173"/>
      <c r="ER22" s="173"/>
      <c r="ES22" s="173"/>
      <c r="ET22" s="173"/>
      <c r="EU22" s="173"/>
      <c r="EV22" s="173"/>
      <c r="EW22" s="173"/>
      <c r="EX22" s="173"/>
      <c r="EY22" s="173"/>
      <c r="EZ22" s="173"/>
      <c r="FA22" s="173"/>
      <c r="FB22" s="173"/>
      <c r="FC22" s="173"/>
      <c r="FD22" s="173"/>
      <c r="FE22" s="173"/>
      <c r="FF22" s="173"/>
      <c r="FG22" s="173"/>
      <c r="FH22" s="173"/>
      <c r="FI22" s="173"/>
      <c r="FJ22" s="173"/>
      <c r="FK22" s="173"/>
      <c r="FL22" s="173"/>
      <c r="FM22" s="173"/>
      <c r="FN22" s="173"/>
      <c r="FO22" s="173"/>
      <c r="FP22" s="173"/>
      <c r="FQ22" s="173"/>
      <c r="FR22" s="173"/>
      <c r="FS22" s="173"/>
      <c r="FT22" s="173"/>
      <c r="FU22" s="173"/>
      <c r="FV22" s="173"/>
      <c r="FW22" s="173"/>
      <c r="FX22" s="173"/>
      <c r="FY22" s="173"/>
      <c r="FZ22" s="173"/>
      <c r="GA22" s="173"/>
      <c r="GB22" s="173"/>
      <c r="GC22" s="173"/>
      <c r="GD22" s="173"/>
      <c r="GE22" s="173"/>
      <c r="GF22" s="173"/>
      <c r="GG22" s="173"/>
      <c r="GH22" s="173"/>
      <c r="GI22" s="173"/>
      <c r="GJ22" s="173"/>
      <c r="GK22" s="173"/>
      <c r="GL22" s="173"/>
      <c r="GM22" s="173"/>
      <c r="GN22" s="173"/>
      <c r="GO22" s="173"/>
      <c r="GP22" s="173"/>
      <c r="GQ22" s="173"/>
      <c r="GR22" s="173"/>
      <c r="GS22" s="173"/>
      <c r="GT22" s="173"/>
      <c r="GU22" s="173"/>
      <c r="GV22" s="173"/>
      <c r="GW22" s="173"/>
      <c r="GX22" s="173"/>
      <c r="GY22" s="173"/>
      <c r="GZ22" s="173"/>
      <c r="HA22" s="173"/>
      <c r="HB22" s="173"/>
      <c r="HC22" s="173"/>
      <c r="HD22" s="173"/>
      <c r="HE22" s="173"/>
      <c r="HF22" s="173"/>
      <c r="HG22" s="173"/>
      <c r="HH22" s="173"/>
      <c r="HI22" s="173"/>
      <c r="HJ22" s="173"/>
      <c r="HK22" s="173"/>
      <c r="HL22" s="173"/>
      <c r="HM22" s="173"/>
      <c r="HN22" s="173"/>
      <c r="HO22" s="173"/>
      <c r="HP22" s="173"/>
      <c r="HQ22" s="173"/>
      <c r="HR22" s="173"/>
      <c r="HS22" s="173"/>
      <c r="HT22" s="173"/>
      <c r="HU22" s="173"/>
      <c r="HV22" s="173"/>
      <c r="HW22" s="173"/>
      <c r="HX22" s="173"/>
      <c r="HY22" s="173"/>
      <c r="HZ22" s="173"/>
      <c r="IA22" s="173"/>
      <c r="IB22" s="173"/>
      <c r="IC22" s="173"/>
      <c r="ID22" s="173"/>
      <c r="IE22" s="173"/>
      <c r="IF22" s="173"/>
      <c r="IG22" s="173"/>
      <c r="IH22" s="173"/>
      <c r="II22" s="173"/>
      <c r="IJ22" s="173"/>
      <c r="IK22" s="173"/>
      <c r="IL22" s="173"/>
      <c r="IM22" s="173"/>
      <c r="IN22" s="173"/>
      <c r="IO22" s="173"/>
      <c r="IP22" s="173"/>
      <c r="IQ22" s="173"/>
      <c r="IR22" s="173"/>
      <c r="IS22" s="173"/>
      <c r="IT22" s="173"/>
      <c r="IU22" s="173"/>
      <c r="IV22" s="173"/>
    </row>
    <row r="23" spans="3:7" s="177" customFormat="1" ht="8.25" hidden="1">
      <c r="C23" s="178"/>
      <c r="D23" s="178"/>
      <c r="E23" s="178"/>
      <c r="G23" s="178"/>
    </row>
    <row r="24" spans="3:8" s="179" customFormat="1" ht="12.75" hidden="1">
      <c r="C24" s="180" t="s">
        <v>77</v>
      </c>
      <c r="D24" s="181"/>
      <c r="E24" s="181"/>
      <c r="F24" s="173"/>
      <c r="G24" s="180" t="s">
        <v>98</v>
      </c>
      <c r="H24" s="181"/>
    </row>
    <row r="25" spans="3:8" s="179" customFormat="1" ht="12.75" hidden="1">
      <c r="C25" s="182">
        <f>IF(D8="GHz",C8*1000000000,IF(D8="MHz",C8*1000000,IF(D8="kHz",C8*1000,C8)))</f>
        <v>3000000000</v>
      </c>
      <c r="D25" s="181"/>
      <c r="E25" s="181"/>
      <c r="F25" s="173"/>
      <c r="G25" s="183">
        <f>C12*D28/2*3600/1000</f>
        <v>58.45952931000001</v>
      </c>
      <c r="H25" s="181"/>
    </row>
    <row r="26" spans="3:8" s="179" customFormat="1" ht="12.75" hidden="1">
      <c r="C26" s="181"/>
      <c r="D26" s="181"/>
      <c r="E26" s="181"/>
      <c r="F26" s="178"/>
      <c r="G26" s="184"/>
      <c r="H26" s="181"/>
    </row>
    <row r="27" spans="3:7" s="179" customFormat="1" ht="12.75" hidden="1">
      <c r="C27" s="185" t="str">
        <f>"λ"&amp;" ("&amp;D10&amp;")"</f>
        <v>λ (ft)</v>
      </c>
      <c r="D27" s="186" t="s">
        <v>97</v>
      </c>
      <c r="F27" s="149"/>
      <c r="G27" s="187" t="str">
        <f>"1st sB ("&amp;H8&amp;")"</f>
        <v>1st sB (ft/s)</v>
      </c>
    </row>
    <row r="28" spans="3:7" s="179" customFormat="1" ht="12.75" hidden="1">
      <c r="C28" s="188">
        <f>IF(D10="smi",D28*0.0006213711922,IF(D10="nmi",D28*0.0005399568035,IF(D10="ft",D28*3.280839895,IF(D10="in",D28*39.37007874,IF(D10="mil",D28*0.03937007874,IF(D10="km",D28/1000,IF(D10="m",D28,IF(D10="cm",D28*100,D28*1000))))))))</f>
        <v>0.32785701880883733</v>
      </c>
      <c r="D28" s="189">
        <f>2.99792458*10^8/C25</f>
        <v>0.09993081933333334</v>
      </c>
      <c r="F28" s="149"/>
      <c r="G28" s="190">
        <f>IF(H8="mi/hr",G25*0.621371192,IF(H8="kt",G25*0.539956803,IF(H8="m/s",G25*1000/3600,IF(H8="ft/s",G25*3280.839895/3600,G25))))</f>
        <v>53.27676555643607</v>
      </c>
    </row>
    <row r="29" ht="12.75" hidden="1">
      <c r="F29" s="181"/>
    </row>
    <row r="30" ht="12.75" hidden="1">
      <c r="F30" s="181"/>
    </row>
    <row r="31" ht="12.75" hidden="1">
      <c r="F31" s="179"/>
    </row>
    <row r="32" ht="12" hidden="1">
      <c r="K32" s="191"/>
    </row>
    <row r="33" ht="12" hidden="1">
      <c r="K33" s="173"/>
    </row>
    <row r="34" ht="12" hidden="1"/>
    <row r="35" ht="12" hidden="1"/>
    <row r="36" ht="12" hidden="1">
      <c r="C36" s="192"/>
    </row>
    <row r="37" ht="12" hidden="1"/>
    <row r="38" ht="12" hidden="1"/>
    <row r="39" ht="12" hidden="1"/>
    <row r="40" ht="12" hidden="1"/>
    <row r="41" ht="12" hidden="1"/>
    <row r="42" ht="12" hidden="1"/>
    <row r="43" ht="12" hidden="1"/>
    <row r="44" ht="12" hidden="1"/>
    <row r="45" ht="12" hidden="1"/>
    <row r="46" ht="12" hidden="1"/>
    <row r="47" ht="12" hidden="1"/>
    <row r="48" ht="12" hidden="1"/>
    <row r="49" ht="12" hidden="1"/>
    <row r="50" ht="12" hidden="1"/>
    <row r="51" ht="12" hidden="1"/>
    <row r="52" ht="12" hidden="1"/>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sheetData>
  <sheetProtection password="F39F" sheet="1" objects="1" scenarios="1"/>
  <mergeCells count="6">
    <mergeCell ref="C3:K3"/>
    <mergeCell ref="C6:D6"/>
    <mergeCell ref="C11:D11"/>
    <mergeCell ref="C9:D9"/>
    <mergeCell ref="C7:D7"/>
    <mergeCell ref="F6:H6"/>
  </mergeCells>
  <dataValidations count="5">
    <dataValidation type="list" showInputMessage="1" showErrorMessage="1" sqref="D8">
      <formula1>$C$18:$C$21</formula1>
    </dataValidation>
    <dataValidation type="decimal" operator="greaterThan" allowBlank="1" showInputMessage="1" showErrorMessage="1" sqref="C8">
      <formula1>0</formula1>
    </dataValidation>
    <dataValidation type="list" showInputMessage="1" showErrorMessage="1" error="Please choose from dropdown list" sqref="H8">
      <formula1>$F$18:$F$22</formula1>
    </dataValidation>
    <dataValidation type="list" showInputMessage="1" showErrorMessage="1" error="Please choose from dropdown list" sqref="D10">
      <formula1>$D$18:$D$22</formula1>
    </dataValidation>
    <dataValidation type="decimal" operator="greaterThan" showInputMessage="1" showErrorMessage="1" sqref="C12">
      <formula1>0</formula1>
    </dataValidation>
  </dataValidations>
  <hyperlinks>
    <hyperlink ref="C4" r:id="rId1" display="Click here for the online version"/>
    <hyperlink ref="K4" r:id="rId2" tooltip="Click here to check for updates to this calculator" display="Click here to check for Updates"/>
    <hyperlink ref="K14" location="Home!D7" tooltip="Click to return to title page with calculator list" display="Home"/>
  </hyperlinks>
  <printOptions/>
  <pageMargins left="0.5" right="0.5" top="0.5" bottom="0.5" header="0.5" footer="0.5"/>
  <pageSetup fitToHeight="1" fitToWidth="1" horizontalDpi="600" verticalDpi="600" orientation="portrait" r:id="rId6"/>
  <drawing r:id="rId5"/>
  <legacyDrawing r:id="rId4"/>
</worksheet>
</file>

<file path=xl/worksheets/sheet15.xml><?xml version="1.0" encoding="utf-8"?>
<worksheet xmlns="http://schemas.openxmlformats.org/spreadsheetml/2006/main" xmlns:r="http://schemas.openxmlformats.org/officeDocument/2006/relationships">
  <sheetPr codeName="Sheet14">
    <pageSetUpPr fitToPage="1"/>
  </sheetPr>
  <dimension ref="B2:P34"/>
  <sheetViews>
    <sheetView showGridLines="0" showRowColHeaders="0" workbookViewId="0" topLeftCell="A1">
      <selection activeCell="G9" sqref="G9"/>
    </sheetView>
  </sheetViews>
  <sheetFormatPr defaultColWidth="9.140625" defaultRowHeight="12" zeroHeight="1"/>
  <cols>
    <col min="1" max="1" width="0.5625" style="259" customWidth="1"/>
    <col min="2" max="2" width="1.1484375" style="259" customWidth="1"/>
    <col min="3" max="5" width="5.7109375" style="259" customWidth="1"/>
    <col min="6" max="6" width="10.7109375" style="259" customWidth="1"/>
    <col min="7" max="7" width="5.7109375" style="259" customWidth="1"/>
    <col min="8" max="8" width="7.7109375" style="259" customWidth="1"/>
    <col min="9" max="9" width="5.7109375" style="259" customWidth="1"/>
    <col min="10" max="10" width="10.7109375" style="259" customWidth="1"/>
    <col min="11" max="11" width="4.7109375" style="259" customWidth="1"/>
    <col min="12" max="12" width="1.1484375" style="259" customWidth="1"/>
    <col min="13" max="13" width="0.5625" style="259" customWidth="1"/>
    <col min="14" max="16384" width="0" style="259" hidden="1" customWidth="1"/>
  </cols>
  <sheetData>
    <row r="1" ht="3" customHeight="1" thickBot="1"/>
    <row r="2" spans="2:12" ht="6" customHeight="1" thickTop="1">
      <c r="B2" s="260"/>
      <c r="C2" s="254"/>
      <c r="D2" s="254"/>
      <c r="E2" s="254"/>
      <c r="F2" s="254"/>
      <c r="G2" s="254"/>
      <c r="H2" s="254"/>
      <c r="I2" s="254"/>
      <c r="J2" s="254"/>
      <c r="K2" s="254"/>
      <c r="L2" s="255"/>
    </row>
    <row r="3" spans="2:16" ht="12.75">
      <c r="B3" s="263"/>
      <c r="C3" s="485" t="s">
        <v>160</v>
      </c>
      <c r="D3" s="485"/>
      <c r="E3" s="485"/>
      <c r="F3" s="485"/>
      <c r="G3" s="485"/>
      <c r="H3" s="485"/>
      <c r="I3" s="485"/>
      <c r="J3" s="485"/>
      <c r="K3" s="485"/>
      <c r="L3" s="119"/>
      <c r="M3" s="61"/>
      <c r="N3" s="61"/>
      <c r="O3" s="61"/>
      <c r="P3" s="61"/>
    </row>
    <row r="4" spans="2:16" ht="12.75">
      <c r="B4" s="263"/>
      <c r="C4" s="249" t="s">
        <v>131</v>
      </c>
      <c r="F4" s="167"/>
      <c r="G4" s="167"/>
      <c r="H4" s="167"/>
      <c r="I4" s="167"/>
      <c r="K4" s="248" t="s">
        <v>132</v>
      </c>
      <c r="L4" s="119"/>
      <c r="M4" s="61"/>
      <c r="N4" s="61"/>
      <c r="O4" s="61"/>
      <c r="P4" s="61"/>
    </row>
    <row r="5" spans="2:12" ht="12">
      <c r="B5" s="263"/>
      <c r="C5" s="264"/>
      <c r="D5" s="264"/>
      <c r="E5" s="264"/>
      <c r="F5" s="264"/>
      <c r="G5" s="264"/>
      <c r="H5" s="264"/>
      <c r="I5" s="264"/>
      <c r="J5" s="264"/>
      <c r="K5" s="264"/>
      <c r="L5" s="265"/>
    </row>
    <row r="6" spans="2:12" ht="12">
      <c r="B6" s="263"/>
      <c r="C6" s="522" t="s">
        <v>154</v>
      </c>
      <c r="D6" s="522"/>
      <c r="E6" s="522"/>
      <c r="G6" s="272"/>
      <c r="H6" s="9"/>
      <c r="I6" s="9"/>
      <c r="J6" s="9"/>
      <c r="K6" s="135"/>
      <c r="L6" s="265"/>
    </row>
    <row r="7" spans="2:12" ht="13.5">
      <c r="B7" s="125"/>
      <c r="C7" s="522" t="s">
        <v>169</v>
      </c>
      <c r="D7" s="522"/>
      <c r="E7" s="522"/>
      <c r="F7" s="272" t="s">
        <v>155</v>
      </c>
      <c r="G7" s="272"/>
      <c r="H7" s="9"/>
      <c r="I7" s="9"/>
      <c r="J7" s="9"/>
      <c r="K7" s="135"/>
      <c r="L7" s="265"/>
    </row>
    <row r="8" spans="2:12" ht="13.5" thickBot="1">
      <c r="B8" s="125"/>
      <c r="C8" s="269" t="s">
        <v>9</v>
      </c>
      <c r="D8" s="269" t="s">
        <v>156</v>
      </c>
      <c r="E8" s="269" t="s">
        <v>157</v>
      </c>
      <c r="F8" s="256" t="s">
        <v>8</v>
      </c>
      <c r="G8" s="278"/>
      <c r="H8" s="9"/>
      <c r="I8" s="275"/>
      <c r="J8" s="256" t="s">
        <v>168</v>
      </c>
      <c r="K8" s="274"/>
      <c r="L8" s="265"/>
    </row>
    <row r="9" spans="2:12" ht="12">
      <c r="B9" s="263"/>
      <c r="C9" s="18">
        <v>0</v>
      </c>
      <c r="D9" s="18">
        <v>1</v>
      </c>
      <c r="E9" s="18">
        <v>1</v>
      </c>
      <c r="F9" s="9">
        <f>0.5/SQRT($J$12*$J$13)*SQRT((C9/$J$9*$J$34)^2+(D9/$J$10*$J$34)^2+(E9/$J$11*$J$34)^2)/$E$32</f>
        <v>75.04126503335772</v>
      </c>
      <c r="G9" s="271" t="s">
        <v>46</v>
      </c>
      <c r="H9" s="18"/>
      <c r="I9" s="270" t="s">
        <v>167</v>
      </c>
      <c r="J9" s="427">
        <v>1.3</v>
      </c>
      <c r="K9" s="279" t="s">
        <v>69</v>
      </c>
      <c r="L9" s="265"/>
    </row>
    <row r="10" spans="2:12" ht="12.75">
      <c r="B10" s="125"/>
      <c r="C10" s="18">
        <v>1</v>
      </c>
      <c r="D10" s="18">
        <v>0</v>
      </c>
      <c r="E10" s="18">
        <v>1</v>
      </c>
      <c r="F10" s="9">
        <f aca="true" t="shared" si="0" ref="F10:F19">0.5/SQRT($J$12*$J$13)*SQRT((C10/$J$9*$J$34)^2+(D10/$J$10*$J$34)^2+(E10/$J$11*$J$34)^2)/$E$32</f>
        <v>120.36647885296466</v>
      </c>
      <c r="G10" s="88" t="str">
        <f>$G$9</f>
        <v>GHz</v>
      </c>
      <c r="H10" s="18"/>
      <c r="I10" s="270" t="s">
        <v>166</v>
      </c>
      <c r="J10" s="84">
        <v>2.25</v>
      </c>
      <c r="K10" s="135" t="str">
        <f>K9</f>
        <v>mm</v>
      </c>
      <c r="L10" s="265"/>
    </row>
    <row r="11" spans="2:12" ht="12.75">
      <c r="B11" s="125"/>
      <c r="C11" s="18">
        <v>1</v>
      </c>
      <c r="D11" s="18">
        <v>1</v>
      </c>
      <c r="E11" s="18">
        <v>0</v>
      </c>
      <c r="F11" s="9">
        <f t="shared" si="0"/>
        <v>133.1671586106151</v>
      </c>
      <c r="G11" s="88" t="str">
        <f aca="true" t="shared" si="1" ref="G11:G19">$G$9</f>
        <v>GHz</v>
      </c>
      <c r="H11" s="18"/>
      <c r="I11" s="270" t="s">
        <v>165</v>
      </c>
      <c r="J11" s="84">
        <v>4.34</v>
      </c>
      <c r="K11" s="135" t="str">
        <f>K9</f>
        <v>mm</v>
      </c>
      <c r="L11" s="265"/>
    </row>
    <row r="12" spans="2:12" ht="12.75">
      <c r="B12" s="125"/>
      <c r="C12" s="18">
        <v>1</v>
      </c>
      <c r="D12" s="18">
        <v>1</v>
      </c>
      <c r="E12" s="18">
        <v>1</v>
      </c>
      <c r="F12" s="9">
        <f t="shared" si="0"/>
        <v>137.57320382562247</v>
      </c>
      <c r="G12" s="88" t="str">
        <f t="shared" si="1"/>
        <v>GHz</v>
      </c>
      <c r="H12" s="9"/>
      <c r="I12" s="273" t="s">
        <v>161</v>
      </c>
      <c r="J12" s="84">
        <v>8.854187817E-12</v>
      </c>
      <c r="K12" s="33" t="s">
        <v>164</v>
      </c>
      <c r="L12" s="265"/>
    </row>
    <row r="13" spans="2:12" ht="12.75">
      <c r="B13" s="263"/>
      <c r="C13" s="18">
        <v>0</v>
      </c>
      <c r="D13" s="18">
        <v>1</v>
      </c>
      <c r="E13" s="18">
        <v>2</v>
      </c>
      <c r="F13" s="9">
        <f t="shared" si="0"/>
        <v>95.96808997302847</v>
      </c>
      <c r="G13" s="88" t="str">
        <f t="shared" si="1"/>
        <v>GHz</v>
      </c>
      <c r="H13" s="9"/>
      <c r="I13" s="273" t="s">
        <v>162</v>
      </c>
      <c r="J13" s="84">
        <v>1.2566370614E-06</v>
      </c>
      <c r="K13" s="33" t="s">
        <v>163</v>
      </c>
      <c r="L13" s="265"/>
    </row>
    <row r="14" spans="2:12" ht="12.75">
      <c r="B14" s="125"/>
      <c r="C14" s="18">
        <v>1</v>
      </c>
      <c r="D14" s="18">
        <v>0</v>
      </c>
      <c r="E14" s="18">
        <v>2</v>
      </c>
      <c r="F14" s="9">
        <f t="shared" si="0"/>
        <v>134.41269310123147</v>
      </c>
      <c r="G14" s="88" t="str">
        <f t="shared" si="1"/>
        <v>GHz</v>
      </c>
      <c r="H14" s="9"/>
      <c r="I14" s="9"/>
      <c r="J14" s="9"/>
      <c r="K14" s="135"/>
      <c r="L14" s="265"/>
    </row>
    <row r="15" spans="2:12" ht="12.75">
      <c r="B15" s="125"/>
      <c r="C15" s="18">
        <v>1</v>
      </c>
      <c r="D15" s="18">
        <v>1</v>
      </c>
      <c r="E15" s="18">
        <v>2</v>
      </c>
      <c r="F15" s="9">
        <f t="shared" si="0"/>
        <v>150.0168965353934</v>
      </c>
      <c r="G15" s="88" t="str">
        <f t="shared" si="1"/>
        <v>GHz</v>
      </c>
      <c r="H15" s="9"/>
      <c r="I15" s="9"/>
      <c r="J15" s="9"/>
      <c r="K15" s="135"/>
      <c r="L15" s="265"/>
    </row>
    <row r="16" spans="2:12" ht="12.75">
      <c r="B16" s="125"/>
      <c r="C16" s="18">
        <v>0</v>
      </c>
      <c r="D16" s="18">
        <v>2</v>
      </c>
      <c r="E16" s="18">
        <v>2</v>
      </c>
      <c r="F16" s="9">
        <f t="shared" si="0"/>
        <v>150.08253006671544</v>
      </c>
      <c r="G16" s="88" t="str">
        <f t="shared" si="1"/>
        <v>GHz</v>
      </c>
      <c r="H16" s="9"/>
      <c r="I16" s="9"/>
      <c r="J16" s="9"/>
      <c r="K16" s="135"/>
      <c r="L16" s="265"/>
    </row>
    <row r="17" spans="2:12" ht="12">
      <c r="B17" s="263"/>
      <c r="C17" s="18">
        <v>2</v>
      </c>
      <c r="D17" s="18">
        <v>0</v>
      </c>
      <c r="E17" s="18">
        <v>2</v>
      </c>
      <c r="F17" s="9">
        <f t="shared" si="0"/>
        <v>240.73295770592932</v>
      </c>
      <c r="G17" s="88" t="str">
        <f t="shared" si="1"/>
        <v>GHz</v>
      </c>
      <c r="H17" s="9"/>
      <c r="I17" s="9"/>
      <c r="J17" s="9"/>
      <c r="K17" s="135"/>
      <c r="L17" s="265"/>
    </row>
    <row r="18" spans="2:12" ht="12">
      <c r="B18" s="263"/>
      <c r="C18" s="18">
        <v>2</v>
      </c>
      <c r="D18" s="18">
        <v>2</v>
      </c>
      <c r="E18" s="18">
        <v>0</v>
      </c>
      <c r="F18" s="9">
        <f t="shared" si="0"/>
        <v>266.3343172212302</v>
      </c>
      <c r="G18" s="88" t="str">
        <f t="shared" si="1"/>
        <v>GHz</v>
      </c>
      <c r="H18" s="9"/>
      <c r="I18" s="9"/>
      <c r="J18" s="9"/>
      <c r="K18" s="33"/>
      <c r="L18" s="265"/>
    </row>
    <row r="19" spans="2:12" ht="12">
      <c r="B19" s="263"/>
      <c r="C19" s="18">
        <v>2</v>
      </c>
      <c r="D19" s="18">
        <v>2</v>
      </c>
      <c r="E19" s="18">
        <v>1</v>
      </c>
      <c r="F19" s="9">
        <f t="shared" si="0"/>
        <v>268.5644481462884</v>
      </c>
      <c r="G19" s="88" t="str">
        <f t="shared" si="1"/>
        <v>GHz</v>
      </c>
      <c r="H19" s="9"/>
      <c r="I19" s="135"/>
      <c r="J19" s="135"/>
      <c r="K19" s="33"/>
      <c r="L19" s="265"/>
    </row>
    <row r="20" spans="2:12" ht="12">
      <c r="B20" s="263"/>
      <c r="C20" s="18"/>
      <c r="D20" s="18"/>
      <c r="E20" s="18"/>
      <c r="F20" s="88"/>
      <c r="G20" s="88"/>
      <c r="H20" s="9"/>
      <c r="I20" s="135"/>
      <c r="J20" s="149"/>
      <c r="K20" s="33"/>
      <c r="L20" s="265"/>
    </row>
    <row r="21" spans="2:12" ht="12">
      <c r="B21" s="263"/>
      <c r="C21" s="169" t="str">
        <f>Home!$D$7&amp;", "&amp;Home!$D$8&amp;", "&amp;Home!$D$9</f>
        <v>RF Cafe Calculator Workbook, v6.0, by RF Cafe</v>
      </c>
      <c r="D21" s="18"/>
      <c r="E21" s="18"/>
      <c r="F21" s="88"/>
      <c r="G21" s="88"/>
      <c r="H21" s="9"/>
      <c r="I21" s="135"/>
      <c r="J21" s="135"/>
      <c r="K21" s="420" t="s">
        <v>197</v>
      </c>
      <c r="L21" s="265"/>
    </row>
    <row r="22" spans="2:12" ht="6" customHeight="1" thickBot="1">
      <c r="B22" s="266"/>
      <c r="C22" s="267"/>
      <c r="D22" s="267"/>
      <c r="E22" s="267"/>
      <c r="F22" s="267"/>
      <c r="G22" s="267"/>
      <c r="H22" s="267"/>
      <c r="I22" s="267"/>
      <c r="J22" s="267"/>
      <c r="K22" s="267"/>
      <c r="L22" s="268"/>
    </row>
    <row r="23" ht="3" customHeight="1" thickTop="1"/>
    <row r="24" ht="12" hidden="1"/>
    <row r="25" ht="12" hidden="1"/>
    <row r="26" spans="4:10" ht="12.75" hidden="1" thickBot="1">
      <c r="D26" s="523" t="s">
        <v>170</v>
      </c>
      <c r="E26" s="523"/>
      <c r="I26" s="523" t="s">
        <v>172</v>
      </c>
      <c r="J26" s="523"/>
    </row>
    <row r="27" spans="4:11" ht="12.75" hidden="1" thickTop="1">
      <c r="D27" s="259" t="s">
        <v>171</v>
      </c>
      <c r="E27" s="276">
        <v>1000000000000</v>
      </c>
      <c r="I27" s="259" t="s">
        <v>9</v>
      </c>
      <c r="J27" s="259">
        <v>1</v>
      </c>
      <c r="K27" s="259">
        <f aca="true" t="shared" si="2" ref="K27:K32">1/J27</f>
        <v>1</v>
      </c>
    </row>
    <row r="28" spans="4:11" ht="12" hidden="1">
      <c r="D28" s="259" t="s">
        <v>46</v>
      </c>
      <c r="E28" s="276">
        <v>1000000000</v>
      </c>
      <c r="I28" s="259" t="s">
        <v>74</v>
      </c>
      <c r="J28" s="259">
        <v>0.01</v>
      </c>
      <c r="K28" s="259">
        <f t="shared" si="2"/>
        <v>100</v>
      </c>
    </row>
    <row r="29" spans="4:11" ht="12" hidden="1">
      <c r="D29" s="259" t="s">
        <v>37</v>
      </c>
      <c r="E29" s="276">
        <v>1000000</v>
      </c>
      <c r="I29" s="259" t="s">
        <v>69</v>
      </c>
      <c r="J29" s="259">
        <v>0.001</v>
      </c>
      <c r="K29" s="259">
        <f t="shared" si="2"/>
        <v>1000</v>
      </c>
    </row>
    <row r="30" spans="4:11" ht="12" hidden="1">
      <c r="D30" s="259" t="s">
        <v>47</v>
      </c>
      <c r="E30" s="276">
        <v>1000</v>
      </c>
      <c r="I30" s="259" t="s">
        <v>41</v>
      </c>
      <c r="J30" s="259">
        <f>1/3.280839895</f>
        <v>0.3048000000012192</v>
      </c>
      <c r="K30" s="259">
        <f t="shared" si="2"/>
        <v>3.2808398949999997</v>
      </c>
    </row>
    <row r="31" spans="9:11" ht="12" hidden="1">
      <c r="I31" s="259" t="s">
        <v>72</v>
      </c>
      <c r="J31" s="259">
        <f>J30/12</f>
        <v>0.0254000000001016</v>
      </c>
      <c r="K31" s="259">
        <f t="shared" si="2"/>
        <v>39.37007874</v>
      </c>
    </row>
    <row r="32" spans="5:11" ht="12" hidden="1">
      <c r="E32" s="277">
        <f>IF(G9="THz",1000000000000,IF(G9="GHz",1000000000,IF(G9="MHz",1000000,1000)))</f>
        <v>1000000000</v>
      </c>
      <c r="I32" s="259" t="s">
        <v>73</v>
      </c>
      <c r="J32" s="259">
        <f>J31/1000</f>
        <v>2.54000000001016E-05</v>
      </c>
      <c r="K32" s="259">
        <f t="shared" si="2"/>
        <v>39370.07874</v>
      </c>
    </row>
    <row r="33" ht="12" hidden="1"/>
    <row r="34" ht="12" hidden="1">
      <c r="J34" s="259">
        <f>IF(K9="m",K27,IF(K9="cm",K28,IF(K9="mm",K29,IF(K9="ft",K30,IF(K9="in",K31,K32)))))</f>
        <v>1000</v>
      </c>
    </row>
  </sheetData>
  <sheetProtection password="F39F" sheet="1" objects="1" scenarios="1"/>
  <mergeCells count="5">
    <mergeCell ref="C3:K3"/>
    <mergeCell ref="C6:E6"/>
    <mergeCell ref="C7:E7"/>
    <mergeCell ref="D26:E26"/>
    <mergeCell ref="I26:J26"/>
  </mergeCells>
  <dataValidations count="3">
    <dataValidation type="decimal" operator="greaterThan" allowBlank="1" showInputMessage="1" showErrorMessage="1" sqref="J9:J13">
      <formula1>0</formula1>
    </dataValidation>
    <dataValidation type="list" allowBlank="1" showInputMessage="1" showErrorMessage="1" sqref="G9">
      <formula1>$D$27:$D$30</formula1>
    </dataValidation>
    <dataValidation type="list" allowBlank="1" showInputMessage="1" showErrorMessage="1" sqref="K9">
      <formula1>$I$27:$I$32</formula1>
    </dataValidation>
  </dataValidations>
  <hyperlinks>
    <hyperlink ref="C4" r:id="rId1" display="Click here for the online version"/>
    <hyperlink ref="K4" r:id="rId2" tooltip="Click here to check for updates to this calculator" display="Click here to check for Updates"/>
    <hyperlink ref="K21" location="Home!D7" tooltip="Click to return to title page with calculator list" display="Home"/>
  </hyperlinks>
  <printOptions/>
  <pageMargins left="0.5" right="0.5" top="0.5" bottom="0.5" header="0.5" footer="0.5"/>
  <pageSetup fitToHeight="1" fitToWidth="1" horizontalDpi="600" verticalDpi="600" orientation="portrait" r:id="rId4"/>
  <drawing r:id="rId3"/>
</worksheet>
</file>

<file path=xl/worksheets/sheet16.xml><?xml version="1.0" encoding="utf-8"?>
<worksheet xmlns="http://schemas.openxmlformats.org/spreadsheetml/2006/main" xmlns:r="http://schemas.openxmlformats.org/officeDocument/2006/relationships">
  <dimension ref="A1:M21"/>
  <sheetViews>
    <sheetView showGridLines="0" showRowColHeaders="0" workbookViewId="0" topLeftCell="A1">
      <selection activeCell="I16" sqref="I16:J16"/>
    </sheetView>
  </sheetViews>
  <sheetFormatPr defaultColWidth="9.140625" defaultRowHeight="12" zeroHeight="1"/>
  <cols>
    <col min="1" max="1" width="0.5625" style="0" customWidth="1"/>
    <col min="2" max="2" width="1.1484375" style="0" customWidth="1"/>
    <col min="12" max="12" width="1.1484375" style="0" customWidth="1"/>
    <col min="13" max="13" width="0.5625" style="0" customWidth="1"/>
    <col min="14" max="16384" width="0" style="0" hidden="1" customWidth="1"/>
  </cols>
  <sheetData>
    <row r="1" spans="1:13" ht="3" customHeight="1" thickBot="1">
      <c r="A1" s="149"/>
      <c r="B1" s="149"/>
      <c r="C1" s="149"/>
      <c r="D1" s="149"/>
      <c r="E1" s="149"/>
      <c r="F1" s="149"/>
      <c r="G1" s="149"/>
      <c r="H1" s="149"/>
      <c r="I1" s="149"/>
      <c r="J1" s="149"/>
      <c r="K1" s="149"/>
      <c r="L1" s="149"/>
      <c r="M1" s="149"/>
    </row>
    <row r="2" spans="1:13" ht="6" customHeight="1" thickTop="1">
      <c r="A2" s="149"/>
      <c r="B2" s="368"/>
      <c r="C2" s="369"/>
      <c r="D2" s="369"/>
      <c r="E2" s="369"/>
      <c r="F2" s="369"/>
      <c r="G2" s="369"/>
      <c r="H2" s="369"/>
      <c r="I2" s="369"/>
      <c r="J2" s="369"/>
      <c r="K2" s="369"/>
      <c r="L2" s="370"/>
      <c r="M2" s="365"/>
    </row>
    <row r="3" spans="1:13" ht="12.75">
      <c r="A3" s="149"/>
      <c r="B3" s="371"/>
      <c r="C3" s="518" t="s">
        <v>284</v>
      </c>
      <c r="D3" s="518"/>
      <c r="E3" s="518"/>
      <c r="F3" s="518"/>
      <c r="G3" s="518"/>
      <c r="H3" s="518"/>
      <c r="I3" s="518"/>
      <c r="J3" s="518"/>
      <c r="K3" s="518"/>
      <c r="L3" s="372"/>
      <c r="M3" s="365"/>
    </row>
    <row r="4" spans="1:13" ht="12.75">
      <c r="A4" s="149"/>
      <c r="B4" s="371"/>
      <c r="C4" s="403"/>
      <c r="D4" s="365"/>
      <c r="E4" s="373"/>
      <c r="F4" s="373"/>
      <c r="G4" s="373"/>
      <c r="H4" s="373"/>
      <c r="I4" s="373"/>
      <c r="J4" s="365"/>
      <c r="K4" s="404" t="s">
        <v>132</v>
      </c>
      <c r="L4" s="372"/>
      <c r="M4" s="365"/>
    </row>
    <row r="5" spans="1:13" ht="12">
      <c r="A5" s="149"/>
      <c r="B5" s="371"/>
      <c r="C5" s="149"/>
      <c r="D5" s="149"/>
      <c r="E5" s="149"/>
      <c r="F5" s="149"/>
      <c r="G5" s="149"/>
      <c r="H5" s="149"/>
      <c r="I5" s="149"/>
      <c r="J5" s="149"/>
      <c r="K5" s="149"/>
      <c r="L5" s="372"/>
      <c r="M5" s="365"/>
    </row>
    <row r="6" spans="1:13" ht="12">
      <c r="A6" s="149"/>
      <c r="B6" s="371"/>
      <c r="C6" s="524" t="s">
        <v>282</v>
      </c>
      <c r="D6" s="524"/>
      <c r="E6" s="524"/>
      <c r="F6" s="524"/>
      <c r="G6" s="524"/>
      <c r="H6" s="149"/>
      <c r="I6" s="149"/>
      <c r="J6" s="149"/>
      <c r="K6" s="149"/>
      <c r="L6" s="372"/>
      <c r="M6" s="365"/>
    </row>
    <row r="7" spans="1:13" ht="12">
      <c r="A7" s="149"/>
      <c r="B7" s="371"/>
      <c r="C7" s="524"/>
      <c r="D7" s="524"/>
      <c r="E7" s="524"/>
      <c r="F7" s="524"/>
      <c r="G7" s="524"/>
      <c r="H7" s="149"/>
      <c r="I7" s="149"/>
      <c r="J7" s="149"/>
      <c r="K7" s="149"/>
      <c r="L7" s="372"/>
      <c r="M7" s="365"/>
    </row>
    <row r="8" spans="1:13" ht="12">
      <c r="A8" s="149"/>
      <c r="B8" s="371"/>
      <c r="C8" s="524"/>
      <c r="D8" s="524"/>
      <c r="E8" s="524"/>
      <c r="F8" s="524"/>
      <c r="G8" s="524"/>
      <c r="H8" s="149"/>
      <c r="I8" s="149"/>
      <c r="J8" s="149"/>
      <c r="K8" s="149"/>
      <c r="L8" s="372"/>
      <c r="M8" s="365"/>
    </row>
    <row r="9" spans="1:13" ht="12">
      <c r="A9" s="149"/>
      <c r="B9" s="371"/>
      <c r="C9" s="524"/>
      <c r="D9" s="524"/>
      <c r="E9" s="524"/>
      <c r="F9" s="524"/>
      <c r="G9" s="524"/>
      <c r="H9" s="149"/>
      <c r="I9" s="149"/>
      <c r="J9" s="149"/>
      <c r="K9" s="149"/>
      <c r="L9" s="372"/>
      <c r="M9" s="365"/>
    </row>
    <row r="10" spans="1:13" ht="12">
      <c r="A10" s="149"/>
      <c r="B10" s="371"/>
      <c r="C10" s="524"/>
      <c r="D10" s="524"/>
      <c r="E10" s="524"/>
      <c r="F10" s="524"/>
      <c r="G10" s="524"/>
      <c r="H10" s="149"/>
      <c r="I10" s="149"/>
      <c r="J10" s="149"/>
      <c r="K10" s="149"/>
      <c r="L10" s="372"/>
      <c r="M10" s="365"/>
    </row>
    <row r="11" spans="1:13" ht="12">
      <c r="A11" s="149"/>
      <c r="B11" s="371"/>
      <c r="C11" s="524"/>
      <c r="D11" s="524"/>
      <c r="E11" s="524"/>
      <c r="F11" s="524"/>
      <c r="G11" s="524"/>
      <c r="H11" s="149"/>
      <c r="I11" s="149"/>
      <c r="J11" s="149"/>
      <c r="K11" s="149"/>
      <c r="L11" s="372"/>
      <c r="M11" s="365"/>
    </row>
    <row r="12" spans="1:13" ht="12">
      <c r="A12" s="149"/>
      <c r="B12" s="371"/>
      <c r="C12" s="524"/>
      <c r="D12" s="524"/>
      <c r="E12" s="524"/>
      <c r="F12" s="524"/>
      <c r="G12" s="524"/>
      <c r="H12" s="149"/>
      <c r="I12" s="149"/>
      <c r="J12" s="149"/>
      <c r="K12" s="149"/>
      <c r="L12" s="372"/>
      <c r="M12" s="365"/>
    </row>
    <row r="13" spans="1:13" ht="12">
      <c r="A13" s="149"/>
      <c r="B13" s="371"/>
      <c r="C13" s="524"/>
      <c r="D13" s="524"/>
      <c r="E13" s="524"/>
      <c r="F13" s="524"/>
      <c r="G13" s="524"/>
      <c r="H13" s="149"/>
      <c r="I13" s="149"/>
      <c r="J13" s="149"/>
      <c r="K13" s="149"/>
      <c r="L13" s="372"/>
      <c r="M13" s="365"/>
    </row>
    <row r="14" spans="1:13" ht="12">
      <c r="A14" s="149"/>
      <c r="B14" s="371"/>
      <c r="C14" s="524"/>
      <c r="D14" s="524"/>
      <c r="E14" s="524"/>
      <c r="F14" s="524"/>
      <c r="G14" s="524"/>
      <c r="H14" s="149"/>
      <c r="I14" s="149"/>
      <c r="J14" s="149"/>
      <c r="K14" s="149"/>
      <c r="L14" s="372"/>
      <c r="M14" s="365"/>
    </row>
    <row r="15" spans="1:13" ht="12">
      <c r="A15" s="149"/>
      <c r="B15" s="371"/>
      <c r="C15" s="524"/>
      <c r="D15" s="524"/>
      <c r="E15" s="524"/>
      <c r="F15" s="524"/>
      <c r="G15" s="524"/>
      <c r="H15" s="149"/>
      <c r="I15" s="149"/>
      <c r="J15" s="149"/>
      <c r="K15" s="149"/>
      <c r="L15" s="372"/>
      <c r="M15" s="365"/>
    </row>
    <row r="16" spans="1:13" ht="12">
      <c r="A16" s="149"/>
      <c r="B16" s="371"/>
      <c r="C16" s="524"/>
      <c r="D16" s="524"/>
      <c r="E16" s="524"/>
      <c r="F16" s="524"/>
      <c r="G16" s="524"/>
      <c r="H16" s="149"/>
      <c r="I16" s="525" t="s">
        <v>281</v>
      </c>
      <c r="J16" s="525"/>
      <c r="K16" s="149"/>
      <c r="L16" s="372"/>
      <c r="M16" s="365"/>
    </row>
    <row r="17" spans="1:13" ht="12">
      <c r="A17" s="149"/>
      <c r="B17" s="371"/>
      <c r="C17" s="524"/>
      <c r="D17" s="524"/>
      <c r="E17" s="524"/>
      <c r="F17" s="524"/>
      <c r="G17" s="524"/>
      <c r="H17" s="149"/>
      <c r="I17" s="149"/>
      <c r="J17" s="149"/>
      <c r="K17" s="149"/>
      <c r="L17" s="372"/>
      <c r="M17" s="365"/>
    </row>
    <row r="18" spans="1:13" ht="12">
      <c r="A18" s="149"/>
      <c r="B18" s="371"/>
      <c r="C18" s="5"/>
      <c r="D18" s="365"/>
      <c r="E18" s="365"/>
      <c r="F18" s="5"/>
      <c r="G18" s="365"/>
      <c r="H18" s="365"/>
      <c r="I18" s="365"/>
      <c r="J18" s="365"/>
      <c r="K18" s="365"/>
      <c r="L18" s="372"/>
      <c r="M18" s="365"/>
    </row>
    <row r="19" spans="1:13" ht="12">
      <c r="A19" s="149"/>
      <c r="B19" s="371"/>
      <c r="C19" s="374" t="str">
        <f>Home!$D$7&amp;", "&amp;Home!$D$8&amp;", "&amp;Home!$D$9</f>
        <v>RF Cafe Calculator Workbook, v6.0, by RF Cafe</v>
      </c>
      <c r="D19" s="365"/>
      <c r="E19" s="365"/>
      <c r="F19" s="5"/>
      <c r="G19" s="5"/>
      <c r="H19" s="5"/>
      <c r="I19" s="5"/>
      <c r="J19" s="365"/>
      <c r="K19" s="421" t="s">
        <v>197</v>
      </c>
      <c r="L19" s="372"/>
      <c r="M19" s="365"/>
    </row>
    <row r="20" spans="1:13" ht="6" customHeight="1" thickBot="1">
      <c r="A20" s="149"/>
      <c r="B20" s="375"/>
      <c r="C20" s="74"/>
      <c r="D20" s="74"/>
      <c r="E20" s="74"/>
      <c r="F20" s="376"/>
      <c r="G20" s="377"/>
      <c r="H20" s="376"/>
      <c r="I20" s="376"/>
      <c r="J20" s="376"/>
      <c r="K20" s="376"/>
      <c r="L20" s="378"/>
      <c r="M20" s="343"/>
    </row>
    <row r="21" spans="1:13" ht="3" customHeight="1" thickTop="1">
      <c r="A21" s="149"/>
      <c r="B21" s="343"/>
      <c r="C21" s="343"/>
      <c r="D21" s="343"/>
      <c r="E21" s="343"/>
      <c r="F21" s="365"/>
      <c r="G21" s="343"/>
      <c r="H21" s="365"/>
      <c r="I21" s="365"/>
      <c r="J21" s="365"/>
      <c r="K21" s="365"/>
      <c r="L21" s="343"/>
      <c r="M21" s="343"/>
    </row>
  </sheetData>
  <sheetProtection password="F39F" sheet="1" objects="1" scenarios="1"/>
  <mergeCells count="3">
    <mergeCell ref="C3:K3"/>
    <mergeCell ref="C6:G17"/>
    <mergeCell ref="I16:J16"/>
  </mergeCells>
  <hyperlinks>
    <hyperlink ref="K4" r:id="rId1" tooltip="Click here to check for updates to this calculator" display="Click here to check for Updates"/>
    <hyperlink ref="K19" location="Home!D7" tooltip="Click to return to title page with calculator list" display="Home"/>
    <hyperlink ref="I16:J16" r:id="rId2" tooltip="Visit the RF Cafe website and download the file for free" display="Click Here to Download"/>
  </hyperlinks>
  <printOptions/>
  <pageMargins left="0.75" right="0.75" top="1" bottom="1" header="0.5" footer="0.5"/>
  <pageSetup orientation="portrait" paperSize="9"/>
  <legacyDrawing r:id="rId4"/>
  <oleObjects>
    <oleObject progId="PI3.Image" shapeId="6877984" r:id="rId3"/>
  </oleObjects>
</worksheet>
</file>

<file path=xl/worksheets/sheet17.xml><?xml version="1.0" encoding="utf-8"?>
<worksheet xmlns="http://schemas.openxmlformats.org/spreadsheetml/2006/main" xmlns:r="http://schemas.openxmlformats.org/officeDocument/2006/relationships">
  <dimension ref="B1:V47"/>
  <sheetViews>
    <sheetView workbookViewId="0" topLeftCell="A1">
      <selection activeCell="B30" sqref="B30"/>
    </sheetView>
  </sheetViews>
  <sheetFormatPr defaultColWidth="9.140625" defaultRowHeight="12"/>
  <cols>
    <col min="1" max="1" width="1.7109375" style="432" customWidth="1"/>
    <col min="2" max="2" width="10.8515625" style="451" customWidth="1"/>
    <col min="3" max="4" width="10.8515625" style="452" customWidth="1"/>
    <col min="5" max="12" width="9.140625" style="432" customWidth="1"/>
    <col min="13" max="14" width="8.7109375" style="432" customWidth="1"/>
    <col min="15" max="15" width="10.7109375" style="434" customWidth="1"/>
    <col min="16" max="16" width="10.7109375" style="435" customWidth="1"/>
    <col min="17" max="18" width="8.57421875" style="432" customWidth="1"/>
    <col min="19" max="19" width="1.7109375" style="432" customWidth="1"/>
    <col min="20" max="20" width="18.7109375" style="436" customWidth="1"/>
    <col min="21" max="21" width="18.7109375" style="437" customWidth="1"/>
    <col min="22" max="22" width="20.7109375" style="437" customWidth="1"/>
    <col min="23" max="16384" width="9.140625" style="432" customWidth="1"/>
  </cols>
  <sheetData>
    <row r="1" spans="2:11" ht="15.75">
      <c r="B1" s="529" t="s">
        <v>319</v>
      </c>
      <c r="C1" s="529"/>
      <c r="D1" s="529"/>
      <c r="E1" s="529"/>
      <c r="F1" s="529"/>
      <c r="G1" s="529"/>
      <c r="H1" s="433"/>
      <c r="I1" s="530" t="s">
        <v>317</v>
      </c>
      <c r="J1" s="530"/>
      <c r="K1" s="530"/>
    </row>
    <row r="2" spans="2:16" ht="12">
      <c r="B2" s="531" t="s">
        <v>309</v>
      </c>
      <c r="C2" s="531"/>
      <c r="D2" s="438"/>
      <c r="G2" s="439"/>
      <c r="M2" s="532" t="s">
        <v>311</v>
      </c>
      <c r="N2" s="533"/>
      <c r="P2" s="440"/>
    </row>
    <row r="3" spans="2:16" ht="12.75" thickBot="1">
      <c r="B3" s="441"/>
      <c r="C3" s="442" t="s">
        <v>307</v>
      </c>
      <c r="D3" s="443"/>
      <c r="F3" s="444"/>
      <c r="J3" s="444"/>
      <c r="M3" s="445" t="s">
        <v>315</v>
      </c>
      <c r="N3" s="445" t="s">
        <v>316</v>
      </c>
      <c r="O3" s="446" t="s">
        <v>318</v>
      </c>
      <c r="P3" s="440"/>
    </row>
    <row r="4" spans="2:16" ht="14.25" thickBot="1" thickTop="1">
      <c r="B4" s="526" t="s">
        <v>308</v>
      </c>
      <c r="C4" s="526"/>
      <c r="D4" s="526"/>
      <c r="F4" s="444"/>
      <c r="G4" s="527" t="s">
        <v>305</v>
      </c>
      <c r="H4" s="527"/>
      <c r="I4" s="527"/>
      <c r="J4" s="444"/>
      <c r="M4" s="447">
        <v>50</v>
      </c>
      <c r="N4" s="448">
        <v>0</v>
      </c>
      <c r="O4" s="449" t="s">
        <v>325</v>
      </c>
      <c r="P4" s="450"/>
    </row>
    <row r="5" spans="7:22" ht="12" customHeight="1" thickTop="1">
      <c r="G5" s="453">
        <v>-1</v>
      </c>
      <c r="H5" s="453">
        <v>0</v>
      </c>
      <c r="I5" s="453">
        <v>1</v>
      </c>
      <c r="T5" s="528" t="s">
        <v>320</v>
      </c>
      <c r="U5" s="528"/>
      <c r="V5" s="528"/>
    </row>
    <row r="6" spans="2:22" ht="15.75" thickBot="1">
      <c r="B6" s="454" t="s">
        <v>304</v>
      </c>
      <c r="C6" s="455" t="s">
        <v>302</v>
      </c>
      <c r="D6" s="455" t="s">
        <v>303</v>
      </c>
      <c r="M6" s="445" t="s">
        <v>321</v>
      </c>
      <c r="N6" s="445" t="s">
        <v>322</v>
      </c>
      <c r="O6" s="456" t="s">
        <v>310</v>
      </c>
      <c r="P6" s="457" t="s">
        <v>306</v>
      </c>
      <c r="Q6" s="458" t="s">
        <v>323</v>
      </c>
      <c r="R6" s="459" t="s">
        <v>324</v>
      </c>
      <c r="S6" s="460"/>
      <c r="T6" s="461" t="s">
        <v>313</v>
      </c>
      <c r="U6" s="461" t="s">
        <v>314</v>
      </c>
      <c r="V6" s="461" t="s">
        <v>312</v>
      </c>
    </row>
    <row r="7" spans="2:22" ht="12.75" thickTop="1">
      <c r="B7" s="477">
        <v>900</v>
      </c>
      <c r="C7" s="462">
        <v>0</v>
      </c>
      <c r="D7" s="463">
        <v>0</v>
      </c>
      <c r="M7" s="478">
        <v>50</v>
      </c>
      <c r="N7" s="478">
        <v>0</v>
      </c>
      <c r="O7" s="464" t="s">
        <v>325</v>
      </c>
      <c r="P7" s="465">
        <v>0</v>
      </c>
      <c r="Q7" s="466">
        <v>50</v>
      </c>
      <c r="R7" s="466">
        <v>0</v>
      </c>
      <c r="S7" s="452"/>
      <c r="T7" s="467" t="s">
        <v>326</v>
      </c>
      <c r="U7" s="468" t="s">
        <v>327</v>
      </c>
      <c r="V7" s="468" t="s">
        <v>326</v>
      </c>
    </row>
    <row r="8" spans="2:22" ht="12">
      <c r="B8" s="477">
        <v>910</v>
      </c>
      <c r="C8" s="469">
        <v>-0.333333333333333</v>
      </c>
      <c r="D8" s="470">
        <v>0</v>
      </c>
      <c r="M8" s="477">
        <v>25</v>
      </c>
      <c r="N8" s="477">
        <v>0</v>
      </c>
      <c r="O8" s="471" t="s">
        <v>328</v>
      </c>
      <c r="P8" s="472">
        <v>0</v>
      </c>
      <c r="Q8" s="473">
        <v>25</v>
      </c>
      <c r="R8" s="473">
        <v>0</v>
      </c>
      <c r="S8" s="452"/>
      <c r="T8" s="467" t="s">
        <v>329</v>
      </c>
      <c r="U8" s="468" t="s">
        <v>330</v>
      </c>
      <c r="V8" s="468" t="s">
        <v>331</v>
      </c>
    </row>
    <row r="9" spans="2:22" ht="12">
      <c r="B9" s="477">
        <v>920</v>
      </c>
      <c r="C9" s="469">
        <v>-0.2</v>
      </c>
      <c r="D9" s="470">
        <v>0.4</v>
      </c>
      <c r="M9" s="477">
        <v>25</v>
      </c>
      <c r="N9" s="477">
        <v>25</v>
      </c>
      <c r="O9" s="471" t="s">
        <v>332</v>
      </c>
      <c r="P9" s="472" t="s">
        <v>333</v>
      </c>
      <c r="Q9" s="473">
        <v>35.35533905932738</v>
      </c>
      <c r="R9" s="473">
        <v>45</v>
      </c>
      <c r="S9" s="452"/>
      <c r="T9" s="467" t="s">
        <v>334</v>
      </c>
      <c r="U9" s="468" t="s">
        <v>335</v>
      </c>
      <c r="V9" s="468" t="s">
        <v>336</v>
      </c>
    </row>
    <row r="10" spans="2:22" ht="12">
      <c r="B10" s="477">
        <v>930</v>
      </c>
      <c r="C10" s="469">
        <v>0.2</v>
      </c>
      <c r="D10" s="470">
        <v>0.4</v>
      </c>
      <c r="M10" s="477">
        <v>50</v>
      </c>
      <c r="N10" s="477">
        <v>50</v>
      </c>
      <c r="O10" s="471" t="s">
        <v>337</v>
      </c>
      <c r="P10" s="472" t="s">
        <v>338</v>
      </c>
      <c r="Q10" s="473">
        <v>70.71067811865476</v>
      </c>
      <c r="R10" s="473">
        <v>45</v>
      </c>
      <c r="S10" s="452"/>
      <c r="T10" s="467" t="s">
        <v>339</v>
      </c>
      <c r="U10" s="468" t="s">
        <v>340</v>
      </c>
      <c r="V10" s="468" t="s">
        <v>341</v>
      </c>
    </row>
    <row r="11" spans="2:22" ht="12">
      <c r="B11" s="477">
        <v>940</v>
      </c>
      <c r="C11" s="469">
        <v>0.333333333333333</v>
      </c>
      <c r="D11" s="470">
        <v>0</v>
      </c>
      <c r="M11" s="477">
        <v>100</v>
      </c>
      <c r="N11" s="477">
        <v>0</v>
      </c>
      <c r="O11" s="471" t="s">
        <v>327</v>
      </c>
      <c r="P11" s="472">
        <v>0</v>
      </c>
      <c r="Q11" s="473">
        <v>100</v>
      </c>
      <c r="R11" s="473">
        <v>0</v>
      </c>
      <c r="S11" s="452"/>
      <c r="T11" s="467" t="s">
        <v>325</v>
      </c>
      <c r="U11" s="468" t="s">
        <v>342</v>
      </c>
      <c r="V11" s="468" t="s">
        <v>343</v>
      </c>
    </row>
    <row r="12" spans="2:22" ht="12">
      <c r="B12" s="477">
        <v>950</v>
      </c>
      <c r="C12" s="469">
        <v>0.2</v>
      </c>
      <c r="D12" s="470">
        <v>-0.4</v>
      </c>
      <c r="M12" s="477">
        <v>50</v>
      </c>
      <c r="N12" s="477">
        <v>-50</v>
      </c>
      <c r="O12" s="471" t="s">
        <v>344</v>
      </c>
      <c r="P12" s="472" t="s">
        <v>345</v>
      </c>
      <c r="Q12" s="473">
        <v>70.71067811865476</v>
      </c>
      <c r="R12" s="473">
        <v>-45</v>
      </c>
      <c r="S12" s="452"/>
      <c r="T12" s="467" t="s">
        <v>346</v>
      </c>
      <c r="U12" s="468" t="s">
        <v>347</v>
      </c>
      <c r="V12" s="468" t="s">
        <v>348</v>
      </c>
    </row>
    <row r="13" spans="2:22" ht="12">
      <c r="B13" s="477">
        <v>960</v>
      </c>
      <c r="C13" s="469">
        <v>-0.2</v>
      </c>
      <c r="D13" s="470">
        <v>-0.4</v>
      </c>
      <c r="M13" s="477">
        <v>25</v>
      </c>
      <c r="N13" s="477">
        <v>-25</v>
      </c>
      <c r="O13" s="471" t="s">
        <v>349</v>
      </c>
      <c r="P13" s="472" t="s">
        <v>350</v>
      </c>
      <c r="Q13" s="473">
        <v>35.35533905932738</v>
      </c>
      <c r="R13" s="473">
        <v>-45</v>
      </c>
      <c r="S13" s="452"/>
      <c r="T13" s="467" t="s">
        <v>351</v>
      </c>
      <c r="U13" s="468" t="s">
        <v>352</v>
      </c>
      <c r="V13" s="468" t="s">
        <v>353</v>
      </c>
    </row>
    <row r="14" spans="2:22" ht="12">
      <c r="B14" s="477">
        <v>970</v>
      </c>
      <c r="C14" s="469">
        <v>-0.666666666666667</v>
      </c>
      <c r="D14" s="470">
        <v>0</v>
      </c>
      <c r="M14" s="477">
        <v>10</v>
      </c>
      <c r="N14" s="477">
        <v>0</v>
      </c>
      <c r="O14" s="471" t="s">
        <v>354</v>
      </c>
      <c r="P14" s="472">
        <v>0</v>
      </c>
      <c r="Q14" s="473">
        <v>10</v>
      </c>
      <c r="R14" s="473">
        <v>0</v>
      </c>
      <c r="S14" s="452"/>
      <c r="T14" s="467" t="s">
        <v>355</v>
      </c>
      <c r="U14" s="468" t="s">
        <v>356</v>
      </c>
      <c r="V14" s="468" t="s">
        <v>357</v>
      </c>
    </row>
    <row r="15" spans="2:22" ht="12">
      <c r="B15" s="477">
        <v>980</v>
      </c>
      <c r="C15" s="469">
        <v>-0.420118343195266</v>
      </c>
      <c r="D15" s="470">
        <v>0.591715976331361</v>
      </c>
      <c r="M15" s="477">
        <v>10</v>
      </c>
      <c r="N15" s="477">
        <v>25</v>
      </c>
      <c r="O15" s="471" t="s">
        <v>358</v>
      </c>
      <c r="P15" s="472" t="s">
        <v>359</v>
      </c>
      <c r="Q15" s="473">
        <v>26.92582403567252</v>
      </c>
      <c r="R15" s="473">
        <v>68.19859051364818</v>
      </c>
      <c r="S15" s="452"/>
      <c r="T15" s="467" t="s">
        <v>360</v>
      </c>
      <c r="U15" s="468" t="s">
        <v>361</v>
      </c>
      <c r="V15" s="468" t="s">
        <v>362</v>
      </c>
    </row>
    <row r="16" spans="2:22" ht="12.75" customHeight="1">
      <c r="B16" s="477">
        <v>990</v>
      </c>
      <c r="C16" s="469">
        <v>0</v>
      </c>
      <c r="D16" s="470">
        <v>0.999999998</v>
      </c>
      <c r="M16" s="477">
        <v>1E-07</v>
      </c>
      <c r="N16" s="477">
        <v>50</v>
      </c>
      <c r="O16" s="471" t="s">
        <v>363</v>
      </c>
      <c r="P16" s="472" t="s">
        <v>364</v>
      </c>
      <c r="Q16" s="473">
        <v>50</v>
      </c>
      <c r="R16" s="473">
        <v>89.99999988540844</v>
      </c>
      <c r="S16" s="452"/>
      <c r="T16" s="467" t="s">
        <v>365</v>
      </c>
      <c r="U16" s="468" t="s">
        <v>366</v>
      </c>
      <c r="V16" s="468" t="s">
        <v>367</v>
      </c>
    </row>
    <row r="17" spans="2:22" ht="12">
      <c r="B17" s="477">
        <v>1000</v>
      </c>
      <c r="C17" s="469">
        <v>0.823529411764706</v>
      </c>
      <c r="D17" s="470">
        <v>0.294117647058824</v>
      </c>
      <c r="M17" s="477">
        <v>100</v>
      </c>
      <c r="N17" s="477">
        <v>250</v>
      </c>
      <c r="O17" s="471" t="s">
        <v>368</v>
      </c>
      <c r="P17" s="472" t="s">
        <v>369</v>
      </c>
      <c r="Q17" s="473">
        <v>269.2582403567252</v>
      </c>
      <c r="R17" s="473">
        <v>68.19859051364818</v>
      </c>
      <c r="S17" s="452"/>
      <c r="T17" s="467" t="s">
        <v>370</v>
      </c>
      <c r="U17" s="468" t="s">
        <v>371</v>
      </c>
      <c r="V17" s="468" t="s">
        <v>372</v>
      </c>
    </row>
    <row r="18" spans="2:22" ht="12">
      <c r="B18" s="477">
        <v>1010</v>
      </c>
      <c r="C18" s="469">
        <v>0.818181818181818</v>
      </c>
      <c r="D18" s="470">
        <v>0</v>
      </c>
      <c r="M18" s="477">
        <v>500</v>
      </c>
      <c r="N18" s="477">
        <v>0</v>
      </c>
      <c r="O18" s="471" t="s">
        <v>373</v>
      </c>
      <c r="P18" s="472">
        <v>0</v>
      </c>
      <c r="Q18" s="473">
        <v>500</v>
      </c>
      <c r="R18" s="473">
        <v>0</v>
      </c>
      <c r="S18" s="452"/>
      <c r="T18" s="467" t="s">
        <v>374</v>
      </c>
      <c r="U18" s="468" t="s">
        <v>375</v>
      </c>
      <c r="V18" s="468" t="s">
        <v>376</v>
      </c>
    </row>
    <row r="19" spans="2:22" ht="12">
      <c r="B19" s="477">
        <v>1020</v>
      </c>
      <c r="C19" s="469">
        <v>0.823529411764706</v>
      </c>
      <c r="D19" s="470">
        <v>-0.294117647058824</v>
      </c>
      <c r="M19" s="477">
        <v>100</v>
      </c>
      <c r="N19" s="477">
        <v>-250</v>
      </c>
      <c r="O19" s="471" t="s">
        <v>377</v>
      </c>
      <c r="P19" s="472" t="s">
        <v>378</v>
      </c>
      <c r="Q19" s="473">
        <v>269.2582403567252</v>
      </c>
      <c r="R19" s="473">
        <v>-68.19859051364818</v>
      </c>
      <c r="S19" s="452"/>
      <c r="T19" s="467" t="s">
        <v>379</v>
      </c>
      <c r="U19" s="468" t="s">
        <v>380</v>
      </c>
      <c r="V19" s="468" t="s">
        <v>381</v>
      </c>
    </row>
    <row r="20" spans="2:22" ht="12">
      <c r="B20" s="477">
        <v>1030</v>
      </c>
      <c r="C20" s="469">
        <v>0</v>
      </c>
      <c r="D20" s="470">
        <v>-0.999999998</v>
      </c>
      <c r="M20" s="477">
        <v>1E-07</v>
      </c>
      <c r="N20" s="477">
        <v>-50</v>
      </c>
      <c r="O20" s="471" t="s">
        <v>382</v>
      </c>
      <c r="P20" s="472" t="s">
        <v>383</v>
      </c>
      <c r="Q20" s="473">
        <v>50</v>
      </c>
      <c r="R20" s="473">
        <v>-89.99999988540844</v>
      </c>
      <c r="S20" s="452"/>
      <c r="T20" s="467" t="s">
        <v>384</v>
      </c>
      <c r="U20" s="468" t="s">
        <v>385</v>
      </c>
      <c r="V20" s="468" t="s">
        <v>386</v>
      </c>
    </row>
    <row r="21" spans="2:22" ht="12">
      <c r="B21" s="477">
        <v>1040</v>
      </c>
      <c r="C21" s="469">
        <v>-0.420118343195266</v>
      </c>
      <c r="D21" s="470">
        <v>-0.591715976331361</v>
      </c>
      <c r="M21" s="477">
        <v>10</v>
      </c>
      <c r="N21" s="477">
        <v>-25</v>
      </c>
      <c r="O21" s="471" t="s">
        <v>387</v>
      </c>
      <c r="P21" s="472" t="s">
        <v>388</v>
      </c>
      <c r="Q21" s="473">
        <v>26.92582403567252</v>
      </c>
      <c r="R21" s="473">
        <v>-68.19859051364818</v>
      </c>
      <c r="S21" s="452"/>
      <c r="T21" s="467" t="s">
        <v>389</v>
      </c>
      <c r="U21" s="468" t="s">
        <v>390</v>
      </c>
      <c r="V21" s="468" t="s">
        <v>391</v>
      </c>
    </row>
    <row r="22" spans="2:22" ht="12">
      <c r="B22" s="477">
        <v>1050</v>
      </c>
      <c r="C22" s="469">
        <v>-0.999999996</v>
      </c>
      <c r="D22" s="470">
        <v>0</v>
      </c>
      <c r="M22" s="477">
        <v>1E-07</v>
      </c>
      <c r="N22" s="477">
        <v>0</v>
      </c>
      <c r="O22" s="471" t="s">
        <v>392</v>
      </c>
      <c r="P22" s="472">
        <v>0</v>
      </c>
      <c r="Q22" s="473">
        <v>1E-07</v>
      </c>
      <c r="R22" s="473">
        <v>0</v>
      </c>
      <c r="S22" s="452"/>
      <c r="T22" s="467" t="s">
        <v>393</v>
      </c>
      <c r="U22" s="468" t="s">
        <v>394</v>
      </c>
      <c r="V22" s="468" t="s">
        <v>395</v>
      </c>
    </row>
    <row r="23" spans="2:22" ht="12">
      <c r="B23" s="477">
        <v>1060</v>
      </c>
      <c r="C23" s="469" t="s">
        <v>396</v>
      </c>
      <c r="D23" s="470" t="s">
        <v>396</v>
      </c>
      <c r="M23" s="477"/>
      <c r="N23" s="477"/>
      <c r="O23" s="471" t="s">
        <v>396</v>
      </c>
      <c r="P23" s="472" t="s">
        <v>396</v>
      </c>
      <c r="Q23" s="473" t="s">
        <v>396</v>
      </c>
      <c r="R23" s="473" t="s">
        <v>396</v>
      </c>
      <c r="S23" s="452"/>
      <c r="T23" s="467" t="s">
        <v>396</v>
      </c>
      <c r="U23" s="468" t="s">
        <v>396</v>
      </c>
      <c r="V23" s="468" t="s">
        <v>396</v>
      </c>
    </row>
    <row r="24" spans="2:22" ht="12">
      <c r="B24" s="477">
        <v>1070</v>
      </c>
      <c r="C24" s="469" t="s">
        <v>396</v>
      </c>
      <c r="D24" s="470" t="s">
        <v>396</v>
      </c>
      <c r="M24" s="477"/>
      <c r="N24" s="477"/>
      <c r="O24" s="471" t="s">
        <v>396</v>
      </c>
      <c r="P24" s="472" t="s">
        <v>396</v>
      </c>
      <c r="Q24" s="473" t="s">
        <v>396</v>
      </c>
      <c r="R24" s="473" t="s">
        <v>396</v>
      </c>
      <c r="S24" s="452"/>
      <c r="T24" s="467" t="s">
        <v>396</v>
      </c>
      <c r="U24" s="468" t="s">
        <v>396</v>
      </c>
      <c r="V24" s="468" t="s">
        <v>396</v>
      </c>
    </row>
    <row r="25" spans="2:22" ht="12">
      <c r="B25" s="477">
        <v>1080</v>
      </c>
      <c r="C25" s="469" t="s">
        <v>396</v>
      </c>
      <c r="D25" s="470" t="s">
        <v>396</v>
      </c>
      <c r="M25" s="477"/>
      <c r="N25" s="477"/>
      <c r="O25" s="471" t="s">
        <v>396</v>
      </c>
      <c r="P25" s="472" t="s">
        <v>396</v>
      </c>
      <c r="Q25" s="473" t="s">
        <v>396</v>
      </c>
      <c r="R25" s="473" t="s">
        <v>396</v>
      </c>
      <c r="S25" s="452"/>
      <c r="T25" s="467" t="s">
        <v>396</v>
      </c>
      <c r="U25" s="468" t="s">
        <v>396</v>
      </c>
      <c r="V25" s="468" t="s">
        <v>396</v>
      </c>
    </row>
    <row r="26" spans="2:22" ht="12">
      <c r="B26" s="477">
        <v>1090</v>
      </c>
      <c r="C26" s="469" t="s">
        <v>396</v>
      </c>
      <c r="D26" s="470" t="s">
        <v>396</v>
      </c>
      <c r="M26" s="477"/>
      <c r="N26" s="477"/>
      <c r="O26" s="471" t="s">
        <v>396</v>
      </c>
      <c r="P26" s="472" t="s">
        <v>396</v>
      </c>
      <c r="Q26" s="473" t="s">
        <v>396</v>
      </c>
      <c r="R26" s="473" t="s">
        <v>396</v>
      </c>
      <c r="S26" s="452"/>
      <c r="T26" s="467" t="s">
        <v>396</v>
      </c>
      <c r="U26" s="468" t="s">
        <v>396</v>
      </c>
      <c r="V26" s="468" t="s">
        <v>396</v>
      </c>
    </row>
    <row r="27" spans="2:22" ht="12">
      <c r="B27" s="477">
        <v>1100</v>
      </c>
      <c r="C27" s="469" t="s">
        <v>396</v>
      </c>
      <c r="D27" s="470" t="s">
        <v>396</v>
      </c>
      <c r="M27" s="477"/>
      <c r="N27" s="477"/>
      <c r="O27" s="471" t="s">
        <v>396</v>
      </c>
      <c r="P27" s="472" t="s">
        <v>396</v>
      </c>
      <c r="Q27" s="473" t="s">
        <v>396</v>
      </c>
      <c r="R27" s="473" t="s">
        <v>396</v>
      </c>
      <c r="S27" s="452"/>
      <c r="T27" s="467" t="s">
        <v>396</v>
      </c>
      <c r="U27" s="468" t="s">
        <v>396</v>
      </c>
      <c r="V27" s="468" t="s">
        <v>396</v>
      </c>
    </row>
    <row r="28" spans="2:22" ht="12">
      <c r="B28" s="477">
        <v>1110</v>
      </c>
      <c r="C28" s="469" t="s">
        <v>396</v>
      </c>
      <c r="D28" s="470" t="s">
        <v>396</v>
      </c>
      <c r="M28" s="477"/>
      <c r="N28" s="477"/>
      <c r="O28" s="471" t="s">
        <v>396</v>
      </c>
      <c r="P28" s="472" t="s">
        <v>396</v>
      </c>
      <c r="Q28" s="473" t="s">
        <v>396</v>
      </c>
      <c r="R28" s="473" t="s">
        <v>396</v>
      </c>
      <c r="S28" s="452"/>
      <c r="T28" s="467" t="s">
        <v>396</v>
      </c>
      <c r="U28" s="468" t="s">
        <v>396</v>
      </c>
      <c r="V28" s="468" t="s">
        <v>396</v>
      </c>
    </row>
    <row r="29" spans="2:22" ht="12">
      <c r="B29" s="477">
        <v>1120</v>
      </c>
      <c r="C29" s="469" t="s">
        <v>396</v>
      </c>
      <c r="D29" s="470" t="s">
        <v>396</v>
      </c>
      <c r="M29" s="477"/>
      <c r="N29" s="477"/>
      <c r="O29" s="471" t="s">
        <v>396</v>
      </c>
      <c r="P29" s="472" t="s">
        <v>396</v>
      </c>
      <c r="Q29" s="473" t="s">
        <v>396</v>
      </c>
      <c r="R29" s="473" t="s">
        <v>396</v>
      </c>
      <c r="S29" s="452"/>
      <c r="T29" s="467" t="s">
        <v>396</v>
      </c>
      <c r="U29" s="468" t="s">
        <v>396</v>
      </c>
      <c r="V29" s="468" t="s">
        <v>396</v>
      </c>
    </row>
    <row r="30" spans="2:22" ht="12">
      <c r="B30" s="477">
        <v>1130</v>
      </c>
      <c r="C30" s="469" t="s">
        <v>396</v>
      </c>
      <c r="D30" s="470" t="s">
        <v>396</v>
      </c>
      <c r="M30" s="477"/>
      <c r="N30" s="477"/>
      <c r="O30" s="471" t="s">
        <v>396</v>
      </c>
      <c r="P30" s="472" t="s">
        <v>396</v>
      </c>
      <c r="Q30" s="473" t="s">
        <v>396</v>
      </c>
      <c r="R30" s="473" t="s">
        <v>396</v>
      </c>
      <c r="S30" s="452"/>
      <c r="T30" s="467" t="s">
        <v>396</v>
      </c>
      <c r="U30" s="468" t="s">
        <v>396</v>
      </c>
      <c r="V30" s="468" t="s">
        <v>396</v>
      </c>
    </row>
    <row r="31" spans="3:22" ht="12">
      <c r="C31" s="474"/>
      <c r="D31" s="474"/>
      <c r="M31"/>
      <c r="N31"/>
      <c r="O31" s="475"/>
      <c r="P31" s="476"/>
      <c r="Q31" s="452"/>
      <c r="R31" s="452"/>
      <c r="S31" s="452"/>
      <c r="T31" s="467"/>
      <c r="U31" s="468"/>
      <c r="V31" s="468"/>
    </row>
    <row r="32" spans="3:22" ht="12">
      <c r="C32" s="474"/>
      <c r="D32" s="474"/>
      <c r="M32"/>
      <c r="N32"/>
      <c r="O32" s="475"/>
      <c r="P32" s="476"/>
      <c r="Q32" s="452"/>
      <c r="R32" s="452"/>
      <c r="S32" s="452"/>
      <c r="T32" s="467"/>
      <c r="U32" s="468"/>
      <c r="V32" s="468"/>
    </row>
    <row r="33" spans="3:22" ht="12">
      <c r="C33" s="474"/>
      <c r="D33" s="474"/>
      <c r="M33"/>
      <c r="N33"/>
      <c r="O33" s="475"/>
      <c r="P33" s="476"/>
      <c r="Q33" s="452"/>
      <c r="R33" s="452"/>
      <c r="S33" s="452"/>
      <c r="T33" s="467"/>
      <c r="U33" s="468"/>
      <c r="V33" s="468"/>
    </row>
    <row r="34" spans="3:22" ht="12">
      <c r="C34" s="474"/>
      <c r="D34" s="474"/>
      <c r="M34"/>
      <c r="N34"/>
      <c r="O34" s="475"/>
      <c r="P34" s="476"/>
      <c r="Q34" s="452"/>
      <c r="R34" s="452"/>
      <c r="S34" s="452"/>
      <c r="T34" s="467"/>
      <c r="U34" s="468"/>
      <c r="V34" s="468"/>
    </row>
    <row r="35" spans="3:22" ht="12">
      <c r="C35" s="474"/>
      <c r="D35" s="474"/>
      <c r="M35"/>
      <c r="N35"/>
      <c r="O35" s="475"/>
      <c r="P35" s="476"/>
      <c r="Q35" s="452"/>
      <c r="R35" s="452"/>
      <c r="S35" s="452"/>
      <c r="T35" s="467"/>
      <c r="U35" s="468"/>
      <c r="V35" s="468"/>
    </row>
    <row r="36" spans="13:14" ht="12">
      <c r="M36"/>
      <c r="N36"/>
    </row>
    <row r="37" spans="13:14" ht="12">
      <c r="M37"/>
      <c r="N37"/>
    </row>
    <row r="38" spans="13:14" ht="12">
      <c r="M38"/>
      <c r="N38"/>
    </row>
    <row r="39" spans="13:14" ht="12">
      <c r="M39"/>
      <c r="N39"/>
    </row>
    <row r="40" spans="13:14" ht="12">
      <c r="M40"/>
      <c r="N40"/>
    </row>
    <row r="41" spans="13:14" ht="12">
      <c r="M41"/>
      <c r="N41"/>
    </row>
    <row r="42" spans="13:14" ht="12">
      <c r="M42"/>
      <c r="N42"/>
    </row>
    <row r="43" spans="13:14" ht="12">
      <c r="M43"/>
      <c r="N43"/>
    </row>
    <row r="44" spans="13:14" ht="12">
      <c r="M44"/>
      <c r="N44"/>
    </row>
    <row r="45" spans="13:14" ht="12">
      <c r="M45"/>
      <c r="N45"/>
    </row>
    <row r="46" spans="13:14" ht="12">
      <c r="M46"/>
      <c r="N46"/>
    </row>
    <row r="47" spans="13:14" ht="12">
      <c r="M47"/>
      <c r="N47"/>
    </row>
    <row r="48" ht="12"/>
    <row r="49" ht="12"/>
    <row r="50" ht="12"/>
    <row r="51" ht="12"/>
    <row r="52" ht="12"/>
    <row r="53" ht="12"/>
    <row r="54" ht="12"/>
    <row r="55" ht="12"/>
    <row r="56" ht="12"/>
    <row r="57" ht="12"/>
    <row r="58" ht="12"/>
  </sheetData>
  <mergeCells count="7">
    <mergeCell ref="B4:D4"/>
    <mergeCell ref="G4:I4"/>
    <mergeCell ref="T5:V5"/>
    <mergeCell ref="B1:G1"/>
    <mergeCell ref="I1:K1"/>
    <mergeCell ref="B2:C2"/>
    <mergeCell ref="M2:N2"/>
  </mergeCells>
  <printOptions/>
  <pageMargins left="0.75" right="0.75" top="1" bottom="1" header="0.5" footer="0.5"/>
  <pageSetup orientation="portrait" paperSize="9"/>
  <drawing r:id="rId3"/>
  <legacyDrawing r:id="rId2"/>
</worksheet>
</file>

<file path=xl/worksheets/sheet18.xml><?xml version="1.0" encoding="utf-8"?>
<worksheet xmlns="http://schemas.openxmlformats.org/spreadsheetml/2006/main" xmlns:r="http://schemas.openxmlformats.org/officeDocument/2006/relationships">
  <sheetPr codeName="Sheet11">
    <pageSetUpPr fitToPage="1"/>
  </sheetPr>
  <dimension ref="B2:Q25"/>
  <sheetViews>
    <sheetView showGridLines="0" showRowColHeaders="0" workbookViewId="0" topLeftCell="A1">
      <selection activeCell="D8" sqref="D8"/>
    </sheetView>
  </sheetViews>
  <sheetFormatPr defaultColWidth="9.140625" defaultRowHeight="12" zeroHeight="1"/>
  <cols>
    <col min="1" max="1" width="0.5625" style="28" customWidth="1"/>
    <col min="2" max="2" width="1.1484375" style="28" customWidth="1"/>
    <col min="3" max="3" width="10.7109375" style="28" customWidth="1"/>
    <col min="4" max="4" width="9.140625" style="28" customWidth="1"/>
    <col min="5" max="6" width="3.7109375" style="28" customWidth="1"/>
    <col min="7" max="10" width="9.140625" style="28" customWidth="1"/>
    <col min="11" max="11" width="2.7109375" style="28" customWidth="1"/>
    <col min="12" max="12" width="3.7109375" style="28" customWidth="1"/>
    <col min="13" max="13" width="1.1484375" style="28" customWidth="1"/>
    <col min="14" max="14" width="0.5625" style="28" customWidth="1"/>
    <col min="15" max="16384" width="0" style="28" hidden="1" customWidth="1"/>
  </cols>
  <sheetData>
    <row r="1" ht="3" customHeight="1" thickBot="1"/>
    <row r="2" spans="2:13" ht="6" customHeight="1" thickTop="1">
      <c r="B2" s="29"/>
      <c r="C2" s="30"/>
      <c r="D2" s="30"/>
      <c r="E2" s="30"/>
      <c r="F2" s="30"/>
      <c r="G2" s="30"/>
      <c r="H2" s="30"/>
      <c r="I2" s="30"/>
      <c r="J2" s="30"/>
      <c r="K2" s="30"/>
      <c r="L2" s="30"/>
      <c r="M2" s="31"/>
    </row>
    <row r="3" spans="2:17" ht="12.75">
      <c r="B3" s="32"/>
      <c r="C3" s="485" t="s">
        <v>109</v>
      </c>
      <c r="D3" s="485"/>
      <c r="E3" s="485"/>
      <c r="F3" s="485"/>
      <c r="G3" s="485"/>
      <c r="H3" s="485"/>
      <c r="I3" s="485"/>
      <c r="J3" s="485"/>
      <c r="K3" s="485"/>
      <c r="L3" s="485"/>
      <c r="M3" s="100"/>
      <c r="N3" s="62"/>
      <c r="O3" s="62"/>
      <c r="P3" s="62"/>
      <c r="Q3" s="62"/>
    </row>
    <row r="4" spans="2:17" ht="12.75">
      <c r="B4" s="32"/>
      <c r="C4" s="249" t="s">
        <v>131</v>
      </c>
      <c r="E4" s="167"/>
      <c r="F4" s="167"/>
      <c r="G4" s="167"/>
      <c r="H4" s="167"/>
      <c r="K4" s="167"/>
      <c r="L4" s="248" t="s">
        <v>132</v>
      </c>
      <c r="M4" s="100"/>
      <c r="N4" s="62"/>
      <c r="O4" s="62"/>
      <c r="P4" s="62"/>
      <c r="Q4" s="62"/>
    </row>
    <row r="5" spans="2:13" ht="12">
      <c r="B5" s="32"/>
      <c r="C5" s="33"/>
      <c r="D5" s="33"/>
      <c r="E5" s="33"/>
      <c r="F5" s="33"/>
      <c r="G5" s="33"/>
      <c r="H5" s="33"/>
      <c r="I5" s="33"/>
      <c r="J5" s="33"/>
      <c r="K5" s="33"/>
      <c r="L5" s="33"/>
      <c r="M5" s="34"/>
    </row>
    <row r="6" spans="2:13" ht="12.75" thickBot="1">
      <c r="B6" s="32"/>
      <c r="C6" s="515" t="s">
        <v>17</v>
      </c>
      <c r="D6" s="515"/>
      <c r="E6" s="515"/>
      <c r="F6" s="33"/>
      <c r="G6" s="515" t="s">
        <v>18</v>
      </c>
      <c r="H6" s="515"/>
      <c r="I6" s="515"/>
      <c r="J6" s="515"/>
      <c r="K6" s="515"/>
      <c r="L6" s="33"/>
      <c r="M6" s="34"/>
    </row>
    <row r="7" spans="2:13" ht="12">
      <c r="B7" s="32"/>
      <c r="C7" s="9"/>
      <c r="D7" s="9"/>
      <c r="E7" s="9"/>
      <c r="F7" s="9"/>
      <c r="G7" s="9"/>
      <c r="H7" s="9"/>
      <c r="I7" s="9"/>
      <c r="J7" s="9"/>
      <c r="K7" s="9"/>
      <c r="L7" s="33"/>
      <c r="M7" s="34"/>
    </row>
    <row r="8" spans="2:13" ht="12">
      <c r="B8" s="32"/>
      <c r="C8" s="89" t="s">
        <v>113</v>
      </c>
      <c r="D8" s="6">
        <v>1.2</v>
      </c>
      <c r="E8" s="88" t="s">
        <v>19</v>
      </c>
      <c r="F8" s="9"/>
      <c r="G8" s="79" t="s">
        <v>20</v>
      </c>
      <c r="H8" s="9"/>
      <c r="I8" s="9"/>
      <c r="J8" s="79" t="s">
        <v>21</v>
      </c>
      <c r="K8" s="9"/>
      <c r="L8" s="33"/>
      <c r="M8" s="34"/>
    </row>
    <row r="9" spans="2:13" ht="12">
      <c r="B9" s="32"/>
      <c r="C9" s="89" t="s">
        <v>114</v>
      </c>
      <c r="D9" s="18">
        <f>-20*LOG(D10)</f>
        <v>20.827853703164504</v>
      </c>
      <c r="E9" s="88" t="s">
        <v>0</v>
      </c>
      <c r="F9" s="9"/>
      <c r="G9" s="84">
        <v>2.5</v>
      </c>
      <c r="H9" s="83" t="s">
        <v>19</v>
      </c>
      <c r="I9" s="9"/>
      <c r="J9" s="84">
        <v>2</v>
      </c>
      <c r="K9" s="9" t="s">
        <v>19</v>
      </c>
      <c r="L9" s="33"/>
      <c r="M9" s="34"/>
    </row>
    <row r="10" spans="2:13" ht="12">
      <c r="B10" s="32"/>
      <c r="C10" s="97" t="s">
        <v>115</v>
      </c>
      <c r="D10" s="18">
        <f>ABS((1-D8)/(1+D8))</f>
        <v>0.09090909090909088</v>
      </c>
      <c r="E10" s="88"/>
      <c r="F10" s="9"/>
      <c r="G10" s="85">
        <f>ABS((1-G9)/(1+G9))</f>
        <v>0.42857142857142855</v>
      </c>
      <c r="H10" s="85"/>
      <c r="I10" s="85"/>
      <c r="J10" s="85">
        <f>ABS((1-J9)/(1+J9))</f>
        <v>0.3333333333333333</v>
      </c>
      <c r="K10" s="9"/>
      <c r="L10" s="33"/>
      <c r="M10" s="34"/>
    </row>
    <row r="11" spans="2:13" ht="12">
      <c r="B11" s="32"/>
      <c r="C11" s="9"/>
      <c r="D11" s="18"/>
      <c r="E11" s="88"/>
      <c r="F11" s="9"/>
      <c r="G11" s="9"/>
      <c r="H11" s="89" t="s">
        <v>116</v>
      </c>
      <c r="I11" s="9" t="str">
        <f>"+"&amp;FIXED(20*LOG(1+ABS(G10*J10)),2)&amp;"  / "&amp;FIXED(20*LOG(1-ABS(G10*J10)),2)&amp;"  dB"</f>
        <v>+1.16  / -1.34  dB</v>
      </c>
      <c r="J11" s="9"/>
      <c r="K11" s="9"/>
      <c r="L11" s="33"/>
      <c r="M11" s="34"/>
    </row>
    <row r="12" spans="2:13" ht="12">
      <c r="B12" s="32"/>
      <c r="C12" s="89" t="s">
        <v>113</v>
      </c>
      <c r="D12" s="18">
        <f>(10^(D13/20)+1)/(10^(D13/20)-1)</f>
        <v>1.1999456457168092</v>
      </c>
      <c r="E12" s="88" t="s">
        <v>19</v>
      </c>
      <c r="F12" s="9"/>
      <c r="G12" s="9"/>
      <c r="H12" s="89" t="s">
        <v>117</v>
      </c>
      <c r="I12" s="9" t="str">
        <f>"± "&amp;FIXED(180/PI()*G10*J10,2)&amp;" °"</f>
        <v>± 8.19 °</v>
      </c>
      <c r="J12" s="9"/>
      <c r="K12" s="9"/>
      <c r="L12" s="33"/>
      <c r="M12" s="34"/>
    </row>
    <row r="13" spans="2:13" ht="12">
      <c r="B13" s="32"/>
      <c r="C13" s="89" t="s">
        <v>114</v>
      </c>
      <c r="D13" s="6">
        <v>20.83</v>
      </c>
      <c r="E13" s="88" t="s">
        <v>0</v>
      </c>
      <c r="F13" s="9"/>
      <c r="G13" s="9"/>
      <c r="H13" s="89" t="s">
        <v>118</v>
      </c>
      <c r="I13" s="8" t="str">
        <f>FIXED(G9*J9,2)&amp;" :1"</f>
        <v>5.00 :1</v>
      </c>
      <c r="J13" s="9"/>
      <c r="K13" s="9"/>
      <c r="L13" s="33"/>
      <c r="M13" s="34"/>
    </row>
    <row r="14" spans="2:13" ht="12">
      <c r="B14" s="32"/>
      <c r="C14" s="97" t="s">
        <v>115</v>
      </c>
      <c r="D14" s="18">
        <f>ABS((1-D12)/(1+D12))</f>
        <v>0.0908866299065588</v>
      </c>
      <c r="E14" s="88"/>
      <c r="F14" s="9"/>
      <c r="G14" s="9"/>
      <c r="H14" s="89" t="s">
        <v>120</v>
      </c>
      <c r="I14" s="8" t="str">
        <f>FIXED(IF(G9&gt;J9,G9/J9,J9/G9),2)&amp;" :1"</f>
        <v>1.25 :1</v>
      </c>
      <c r="J14" s="9"/>
      <c r="K14" s="9"/>
      <c r="L14" s="33"/>
      <c r="M14" s="34"/>
    </row>
    <row r="15" spans="2:13" ht="12">
      <c r="B15" s="32"/>
      <c r="C15" s="9"/>
      <c r="D15" s="18"/>
      <c r="E15" s="88"/>
      <c r="F15" s="9"/>
      <c r="G15" s="9"/>
      <c r="H15" s="9"/>
      <c r="I15" s="9"/>
      <c r="J15" s="9"/>
      <c r="K15" s="9"/>
      <c r="L15" s="33"/>
      <c r="M15" s="34"/>
    </row>
    <row r="16" spans="2:13" ht="12.75" thickBot="1">
      <c r="B16" s="32"/>
      <c r="C16" s="89" t="s">
        <v>113</v>
      </c>
      <c r="D16" s="18">
        <f>(10^(D17/20)+1)/(10^(D17/20)-1)</f>
        <v>1.1978021978021975</v>
      </c>
      <c r="E16" s="88" t="s">
        <v>19</v>
      </c>
      <c r="F16" s="33"/>
      <c r="G16" s="515" t="s">
        <v>22</v>
      </c>
      <c r="H16" s="515"/>
      <c r="I16" s="515"/>
      <c r="J16" s="515"/>
      <c r="K16" s="515"/>
      <c r="L16" s="33"/>
      <c r="M16" s="34"/>
    </row>
    <row r="17" spans="2:13" ht="12">
      <c r="B17" s="32"/>
      <c r="C17" s="89" t="s">
        <v>114</v>
      </c>
      <c r="D17" s="18">
        <f>-20*LOG(D18)</f>
        <v>20.915149811213503</v>
      </c>
      <c r="E17" s="88" t="s">
        <v>0</v>
      </c>
      <c r="F17" s="9"/>
      <c r="G17" s="86"/>
      <c r="H17" s="86"/>
      <c r="I17" s="86"/>
      <c r="J17" s="86"/>
      <c r="K17" s="9"/>
      <c r="L17" s="33"/>
      <c r="M17" s="34"/>
    </row>
    <row r="18" spans="2:13" ht="12">
      <c r="B18" s="32"/>
      <c r="C18" s="97" t="s">
        <v>115</v>
      </c>
      <c r="D18" s="6">
        <v>0.09</v>
      </c>
      <c r="E18" s="87"/>
      <c r="F18" s="9"/>
      <c r="G18" s="9"/>
      <c r="H18" s="79" t="s">
        <v>23</v>
      </c>
      <c r="I18" s="9"/>
      <c r="J18" s="519" t="s">
        <v>24</v>
      </c>
      <c r="K18" s="519"/>
      <c r="L18" s="33"/>
      <c r="M18" s="34"/>
    </row>
    <row r="19" spans="2:13" ht="12">
      <c r="B19" s="32"/>
      <c r="C19" s="101"/>
      <c r="D19" s="101"/>
      <c r="E19" s="101"/>
      <c r="F19" s="9"/>
      <c r="G19" s="18"/>
      <c r="H19" s="6">
        <v>3</v>
      </c>
      <c r="I19" s="9" t="s">
        <v>0</v>
      </c>
      <c r="J19" s="9">
        <v>2</v>
      </c>
      <c r="K19" s="9" t="s">
        <v>19</v>
      </c>
      <c r="L19" s="33"/>
      <c r="M19" s="34"/>
    </row>
    <row r="20" spans="2:13" ht="12">
      <c r="B20" s="32"/>
      <c r="C20" s="101"/>
      <c r="D20" s="101"/>
      <c r="E20" s="101"/>
      <c r="F20" s="9"/>
      <c r="G20" s="18"/>
      <c r="H20" s="85">
        <f>2*H19+J20</f>
        <v>15.542425094393248</v>
      </c>
      <c r="I20" s="85"/>
      <c r="J20" s="85">
        <f>20*LOG((J19+1)/(J19-1))</f>
        <v>9.542425094393248</v>
      </c>
      <c r="K20" s="9"/>
      <c r="L20" s="33"/>
      <c r="M20" s="34"/>
    </row>
    <row r="21" spans="2:13" ht="12">
      <c r="B21" s="32"/>
      <c r="C21" s="101"/>
      <c r="D21" s="101"/>
      <c r="E21" s="101"/>
      <c r="F21" s="9"/>
      <c r="G21" s="92" t="s">
        <v>25</v>
      </c>
      <c r="H21" s="9"/>
      <c r="I21" s="17" t="s">
        <v>110</v>
      </c>
      <c r="J21" s="9"/>
      <c r="K21" s="9"/>
      <c r="L21" s="33"/>
      <c r="M21" s="34"/>
    </row>
    <row r="22" spans="2:13" ht="12">
      <c r="B22" s="32"/>
      <c r="C22" s="101"/>
      <c r="D22" s="101"/>
      <c r="E22" s="101"/>
      <c r="F22" s="9"/>
      <c r="G22" s="88">
        <f>(10^(H20/20)+1)/(10^(H20/20)-1)</f>
        <v>1.4011402857964383</v>
      </c>
      <c r="H22" s="9" t="s">
        <v>19</v>
      </c>
      <c r="I22" s="17" t="s">
        <v>111</v>
      </c>
      <c r="J22" s="9"/>
      <c r="K22" s="9"/>
      <c r="L22" s="33"/>
      <c r="M22" s="34"/>
    </row>
    <row r="23" spans="2:13" ht="12">
      <c r="B23" s="32"/>
      <c r="C23" s="101"/>
      <c r="D23" s="101"/>
      <c r="E23" s="101"/>
      <c r="F23" s="9"/>
      <c r="G23" s="9"/>
      <c r="H23" s="9"/>
      <c r="I23" s="17" t="s">
        <v>112</v>
      </c>
      <c r="J23" s="9"/>
      <c r="K23" s="9"/>
      <c r="L23" s="33"/>
      <c r="M23" s="34"/>
    </row>
    <row r="24" spans="2:13" ht="12">
      <c r="B24" s="32"/>
      <c r="C24" s="102" t="str">
        <f>Home!$D$7&amp;", "&amp;Home!$D$8&amp;", "&amp;Home!$D$9</f>
        <v>RF Cafe Calculator Workbook, v6.0, by RF Cafe</v>
      </c>
      <c r="D24" s="101"/>
      <c r="E24" s="101"/>
      <c r="F24" s="9"/>
      <c r="G24" s="9"/>
      <c r="H24" s="9"/>
      <c r="I24" s="17" t="s">
        <v>26</v>
      </c>
      <c r="J24" s="9"/>
      <c r="K24" s="9"/>
      <c r="L24" s="420" t="s">
        <v>197</v>
      </c>
      <c r="M24" s="34"/>
    </row>
    <row r="25" spans="2:13" ht="6" customHeight="1" thickBot="1">
      <c r="B25" s="35"/>
      <c r="C25" s="36"/>
      <c r="D25" s="36"/>
      <c r="E25" s="36"/>
      <c r="F25" s="36"/>
      <c r="G25" s="36"/>
      <c r="H25" s="36"/>
      <c r="I25" s="36"/>
      <c r="J25" s="36"/>
      <c r="K25" s="36"/>
      <c r="L25" s="36"/>
      <c r="M25" s="37"/>
    </row>
    <row r="26" ht="3" customHeight="1" thickTop="1"/>
    <row r="27" ht="12" hidden="1"/>
  </sheetData>
  <sheetProtection password="F39F" sheet="1" objects="1" scenarios="1"/>
  <mergeCells count="5">
    <mergeCell ref="J18:K18"/>
    <mergeCell ref="C6:E6"/>
    <mergeCell ref="G16:K16"/>
    <mergeCell ref="C3:L3"/>
    <mergeCell ref="G6:K6"/>
  </mergeCells>
  <hyperlinks>
    <hyperlink ref="C4" r:id="rId1" display="Click here for the online version"/>
    <hyperlink ref="L4" r:id="rId2" tooltip="Click here to check for updates to this calculator" display="Click here to check for Updates"/>
    <hyperlink ref="L24" location="Home!D7" tooltip="Click to return to title page with calculator list" display="Home"/>
  </hyperlinks>
  <printOptions/>
  <pageMargins left="0.5" right="0.5" top="0.5" bottom="0.5" header="0.5" footer="0.5"/>
  <pageSetup fitToHeight="1" fitToWidth="1" horizontalDpi="600" verticalDpi="600" orientation="portrait" r:id="rId4"/>
  <drawing r:id="rId3"/>
</worksheet>
</file>

<file path=xl/worksheets/sheet19.xml><?xml version="1.0" encoding="utf-8"?>
<worksheet xmlns="http://schemas.openxmlformats.org/spreadsheetml/2006/main" xmlns:r="http://schemas.openxmlformats.org/officeDocument/2006/relationships">
  <sheetPr codeName="Sheet12">
    <pageSetUpPr fitToPage="1"/>
  </sheetPr>
  <dimension ref="B2:O20"/>
  <sheetViews>
    <sheetView showGridLines="0" showRowColHeaders="0" workbookViewId="0" topLeftCell="A1">
      <selection activeCell="E6" sqref="E6"/>
    </sheetView>
  </sheetViews>
  <sheetFormatPr defaultColWidth="9.140625" defaultRowHeight="12" zeroHeight="1"/>
  <cols>
    <col min="1" max="1" width="0.5625" style="113" customWidth="1"/>
    <col min="2" max="2" width="1.1484375" style="113" customWidth="1"/>
    <col min="3" max="3" width="4.7109375" style="113" customWidth="1"/>
    <col min="4" max="4" width="9.7109375" style="113" bestFit="1" customWidth="1"/>
    <col min="5" max="5" width="9.140625" style="113" customWidth="1"/>
    <col min="6" max="7" width="5.7109375" style="113" customWidth="1"/>
    <col min="8" max="8" width="9.7109375" style="113" bestFit="1" customWidth="1"/>
    <col min="9" max="9" width="9.140625" style="113" customWidth="1"/>
    <col min="10" max="10" width="4.7109375" style="113" customWidth="1"/>
    <col min="11" max="11" width="1.1484375" style="113" customWidth="1"/>
    <col min="12" max="12" width="0.5625" style="113" customWidth="1"/>
    <col min="13" max="16384" width="0" style="113" hidden="1" customWidth="1"/>
  </cols>
  <sheetData>
    <row r="1" ht="3" customHeight="1" thickBot="1"/>
    <row r="2" spans="2:11" ht="6" customHeight="1" thickTop="1">
      <c r="B2" s="115"/>
      <c r="C2" s="116"/>
      <c r="D2" s="116"/>
      <c r="E2" s="116"/>
      <c r="F2" s="116"/>
      <c r="G2" s="116"/>
      <c r="H2" s="116"/>
      <c r="I2" s="116"/>
      <c r="J2" s="116"/>
      <c r="K2" s="117"/>
    </row>
    <row r="3" spans="2:15" ht="12.75">
      <c r="B3" s="118"/>
      <c r="C3" s="485" t="s">
        <v>129</v>
      </c>
      <c r="D3" s="485"/>
      <c r="E3" s="485"/>
      <c r="F3" s="485"/>
      <c r="G3" s="485"/>
      <c r="H3" s="485"/>
      <c r="I3" s="485"/>
      <c r="J3" s="485"/>
      <c r="K3" s="119"/>
      <c r="L3" s="61"/>
      <c r="M3" s="61"/>
      <c r="N3" s="61"/>
      <c r="O3" s="61"/>
    </row>
    <row r="4" spans="2:15" ht="12.75">
      <c r="B4" s="118"/>
      <c r="C4" s="167"/>
      <c r="D4" s="147" t="s">
        <v>131</v>
      </c>
      <c r="E4" s="167"/>
      <c r="F4" s="167"/>
      <c r="G4" s="167"/>
      <c r="H4" s="167"/>
      <c r="I4" s="147" t="s">
        <v>132</v>
      </c>
      <c r="J4" s="167"/>
      <c r="K4" s="119"/>
      <c r="L4" s="61"/>
      <c r="M4" s="61"/>
      <c r="N4" s="61"/>
      <c r="O4" s="61"/>
    </row>
    <row r="5" spans="2:11" ht="12">
      <c r="B5" s="118"/>
      <c r="C5" s="120"/>
      <c r="D5" s="120"/>
      <c r="E5" s="120"/>
      <c r="F5" s="120"/>
      <c r="G5" s="120"/>
      <c r="H5" s="120"/>
      <c r="I5" s="120"/>
      <c r="J5" s="120"/>
      <c r="K5" s="121"/>
    </row>
    <row r="6" spans="2:11" s="114" customFormat="1" ht="12.75">
      <c r="B6" s="122"/>
      <c r="C6" s="123"/>
      <c r="D6" s="89" t="s">
        <v>123</v>
      </c>
      <c r="E6" s="110">
        <v>30</v>
      </c>
      <c r="F6" s="112" t="s">
        <v>13</v>
      </c>
      <c r="G6" s="104"/>
      <c r="H6" s="104"/>
      <c r="I6" s="123"/>
      <c r="J6" s="123"/>
      <c r="K6" s="124"/>
    </row>
    <row r="7" spans="2:11" s="114" customFormat="1" ht="12.75">
      <c r="B7" s="125"/>
      <c r="C7" s="107"/>
      <c r="D7" s="106"/>
      <c r="E7" s="105"/>
      <c r="F7" s="104"/>
      <c r="G7" s="104"/>
      <c r="H7" s="104"/>
      <c r="I7" s="123"/>
      <c r="J7" s="123"/>
      <c r="K7" s="124"/>
    </row>
    <row r="8" spans="2:11" s="114" customFormat="1" ht="12.75">
      <c r="B8" s="125"/>
      <c r="C8" s="107"/>
      <c r="D8" s="106"/>
      <c r="E8" s="103"/>
      <c r="F8" s="104"/>
      <c r="G8" s="104"/>
      <c r="H8" s="104"/>
      <c r="I8" s="123"/>
      <c r="J8" s="123"/>
      <c r="K8" s="124"/>
    </row>
    <row r="9" spans="2:11" s="114" customFormat="1" ht="12.75">
      <c r="B9" s="122"/>
      <c r="C9" s="108" t="s">
        <v>125</v>
      </c>
      <c r="D9" s="111">
        <v>1000</v>
      </c>
      <c r="E9" s="112" t="s">
        <v>121</v>
      </c>
      <c r="F9" s="123"/>
      <c r="G9" s="104"/>
      <c r="H9" s="104"/>
      <c r="I9" s="123"/>
      <c r="J9" s="123"/>
      <c r="K9" s="124"/>
    </row>
    <row r="10" spans="2:11" s="114" customFormat="1" ht="12.75">
      <c r="B10" s="125"/>
      <c r="C10" s="123"/>
      <c r="D10" s="407">
        <f>(E6-I11)^2/D9*1000</f>
        <v>100</v>
      </c>
      <c r="E10" s="112" t="s">
        <v>14</v>
      </c>
      <c r="F10" s="104"/>
      <c r="G10" s="104"/>
      <c r="H10" s="104"/>
      <c r="I10" s="123"/>
      <c r="J10" s="123"/>
      <c r="K10" s="124"/>
    </row>
    <row r="11" spans="2:11" s="114" customFormat="1" ht="12.75">
      <c r="B11" s="125"/>
      <c r="C11" s="107"/>
      <c r="D11" s="106"/>
      <c r="E11" s="105"/>
      <c r="F11" s="123"/>
      <c r="G11" s="123"/>
      <c r="H11" s="109" t="s">
        <v>126</v>
      </c>
      <c r="I11" s="407">
        <f>E17+(E6-E17)*I17/(D9+I17)</f>
        <v>20</v>
      </c>
      <c r="J11" s="1" t="s">
        <v>15</v>
      </c>
      <c r="K11" s="124"/>
    </row>
    <row r="12" spans="2:11" s="114" customFormat="1" ht="12.75">
      <c r="B12" s="125"/>
      <c r="C12" s="107"/>
      <c r="D12" s="106"/>
      <c r="E12" s="103"/>
      <c r="F12" s="123"/>
      <c r="G12" s="123"/>
      <c r="H12" s="109" t="s">
        <v>127</v>
      </c>
      <c r="I12" s="407">
        <f>I11/H14*1000</f>
        <v>5</v>
      </c>
      <c r="J12" s="1" t="s">
        <v>16</v>
      </c>
      <c r="K12" s="124"/>
    </row>
    <row r="13" spans="2:11" s="114" customFormat="1" ht="12.75">
      <c r="B13" s="122"/>
      <c r="C13" s="108" t="s">
        <v>124</v>
      </c>
      <c r="D13" s="111">
        <v>4000</v>
      </c>
      <c r="E13" s="112" t="s">
        <v>121</v>
      </c>
      <c r="F13" s="123"/>
      <c r="G13" s="104"/>
      <c r="H13" s="104"/>
      <c r="I13" s="123"/>
      <c r="J13" s="123"/>
      <c r="K13" s="124"/>
    </row>
    <row r="14" spans="2:11" s="114" customFormat="1" ht="15.75">
      <c r="B14" s="125"/>
      <c r="C14" s="123"/>
      <c r="D14" s="407">
        <f>I11^2/D13*1000</f>
        <v>100</v>
      </c>
      <c r="E14" s="112" t="s">
        <v>14</v>
      </c>
      <c r="F14" s="123"/>
      <c r="G14" s="91" t="s">
        <v>128</v>
      </c>
      <c r="H14" s="111">
        <v>4000</v>
      </c>
      <c r="I14" s="112" t="s">
        <v>121</v>
      </c>
      <c r="J14" s="123"/>
      <c r="K14" s="124"/>
    </row>
    <row r="15" spans="2:11" s="114" customFormat="1" ht="12.75">
      <c r="B15" s="125"/>
      <c r="C15" s="107"/>
      <c r="D15" s="106"/>
      <c r="E15" s="105"/>
      <c r="F15" s="104"/>
      <c r="G15" s="104"/>
      <c r="H15" s="407">
        <f>I11^2/H14*1000</f>
        <v>100</v>
      </c>
      <c r="I15" s="112" t="s">
        <v>14</v>
      </c>
      <c r="J15" s="123"/>
      <c r="K15" s="124"/>
    </row>
    <row r="16" spans="2:11" s="114" customFormat="1" ht="12.75">
      <c r="B16" s="125"/>
      <c r="C16" s="107"/>
      <c r="D16" s="106"/>
      <c r="E16" s="105"/>
      <c r="F16" s="104"/>
      <c r="G16" s="104"/>
      <c r="H16" s="104"/>
      <c r="I16" s="123"/>
      <c r="J16" s="123"/>
      <c r="K16" s="124"/>
    </row>
    <row r="17" spans="2:11" ht="12.75">
      <c r="B17" s="118"/>
      <c r="C17" s="120"/>
      <c r="D17" s="89" t="s">
        <v>122</v>
      </c>
      <c r="E17" s="110">
        <v>0</v>
      </c>
      <c r="F17" s="112" t="s">
        <v>13</v>
      </c>
      <c r="H17" s="406" t="s">
        <v>276</v>
      </c>
      <c r="I17" s="407">
        <f>D13*H14/(D13+H14)</f>
        <v>2000</v>
      </c>
      <c r="J17" s="120" t="s">
        <v>121</v>
      </c>
      <c r="K17" s="121"/>
    </row>
    <row r="18" spans="2:11" ht="12">
      <c r="B18" s="118"/>
      <c r="C18" s="120"/>
      <c r="D18" s="120"/>
      <c r="E18" s="120"/>
      <c r="F18" s="120"/>
      <c r="G18" s="120"/>
      <c r="H18" s="120"/>
      <c r="I18" s="120"/>
      <c r="J18" s="120"/>
      <c r="K18" s="121"/>
    </row>
    <row r="19" spans="2:11" ht="12">
      <c r="B19" s="118"/>
      <c r="C19" s="102" t="str">
        <f>Home!$D$7&amp;", "&amp;Home!$D$8&amp;", "&amp;Home!$D$9</f>
        <v>RF Cafe Calculator Workbook, v6.0, by RF Cafe</v>
      </c>
      <c r="D19" s="120"/>
      <c r="E19" s="120"/>
      <c r="F19" s="120"/>
      <c r="G19" s="120"/>
      <c r="H19" s="120"/>
      <c r="I19" s="120"/>
      <c r="J19" s="420" t="s">
        <v>197</v>
      </c>
      <c r="K19" s="121"/>
    </row>
    <row r="20" spans="2:11" ht="6" customHeight="1" thickBot="1">
      <c r="B20" s="126"/>
      <c r="C20" s="127"/>
      <c r="D20" s="127"/>
      <c r="E20" s="127"/>
      <c r="F20" s="127"/>
      <c r="G20" s="127"/>
      <c r="H20" s="127"/>
      <c r="I20" s="127"/>
      <c r="J20" s="127"/>
      <c r="K20" s="128"/>
    </row>
    <row r="21" ht="3" customHeight="1" thickTop="1"/>
  </sheetData>
  <sheetProtection password="F39F" sheet="1" objects="1" scenarios="1"/>
  <mergeCells count="1">
    <mergeCell ref="C3:J3"/>
  </mergeCells>
  <hyperlinks>
    <hyperlink ref="D4" r:id="rId1" display="Click here for the online version"/>
    <hyperlink ref="I4" r:id="rId2" tooltip="Click here to check for updates to this calculator" display="Click here to check for Updates"/>
    <hyperlink ref="J19" location="Home!D7" tooltip="Click to return to title page with calculator list" display="Home"/>
  </hyperlinks>
  <printOptions/>
  <pageMargins left="0.5" right="0.5" top="0.5" bottom="0.5" header="0.5" footer="0.5"/>
  <pageSetup fitToHeight="1" fitToWidth="1" horizontalDpi="600" verticalDpi="600" orientation="portrait" r:id="rId4"/>
  <drawing r:id="rId3"/>
</worksheet>
</file>

<file path=xl/worksheets/sheet2.xml><?xml version="1.0" encoding="utf-8"?>
<worksheet xmlns="http://schemas.openxmlformats.org/spreadsheetml/2006/main" xmlns:r="http://schemas.openxmlformats.org/officeDocument/2006/relationships">
  <sheetPr codeName="Sheet7">
    <pageSetUpPr fitToPage="1"/>
  </sheetPr>
  <dimension ref="B2:M26"/>
  <sheetViews>
    <sheetView showGridLines="0" showRowColHeaders="0" workbookViewId="0" topLeftCell="A1">
      <selection activeCell="F6" sqref="F6"/>
    </sheetView>
  </sheetViews>
  <sheetFormatPr defaultColWidth="9.140625" defaultRowHeight="12" zeroHeight="1"/>
  <cols>
    <col min="1" max="1" width="0.5625" style="28" customWidth="1"/>
    <col min="2" max="2" width="1.1484375" style="28" customWidth="1"/>
    <col min="3" max="3" width="8.00390625" style="28" customWidth="1"/>
    <col min="4" max="4" width="9.140625" style="28" customWidth="1"/>
    <col min="5" max="5" width="1.7109375" style="28" customWidth="1"/>
    <col min="6" max="8" width="9.140625" style="28" customWidth="1"/>
    <col min="9" max="9" width="1.7109375" style="28" customWidth="1"/>
    <col min="10" max="10" width="9.140625" style="28" customWidth="1"/>
    <col min="11" max="11" width="6.7109375" style="28" customWidth="1"/>
    <col min="12" max="12" width="1.1484375" style="28" customWidth="1"/>
    <col min="13" max="13" width="0.5625" style="28" customWidth="1"/>
    <col min="14" max="16384" width="0" style="28" hidden="1" customWidth="1"/>
  </cols>
  <sheetData>
    <row r="1" ht="3" customHeight="1" thickBot="1"/>
    <row r="2" spans="2:12" ht="6" customHeight="1" thickTop="1">
      <c r="B2" s="29"/>
      <c r="C2" s="30"/>
      <c r="D2" s="30"/>
      <c r="E2" s="30"/>
      <c r="F2" s="30"/>
      <c r="G2" s="30"/>
      <c r="H2" s="30"/>
      <c r="I2" s="30"/>
      <c r="J2" s="30"/>
      <c r="K2" s="30"/>
      <c r="L2" s="31"/>
    </row>
    <row r="3" spans="2:12" ht="12" customHeight="1">
      <c r="B3" s="32"/>
      <c r="C3" s="494" t="s">
        <v>53</v>
      </c>
      <c r="D3" s="494"/>
      <c r="E3" s="494"/>
      <c r="F3" s="494"/>
      <c r="G3" s="494"/>
      <c r="H3" s="494"/>
      <c r="I3" s="494"/>
      <c r="J3" s="494"/>
      <c r="K3" s="494"/>
      <c r="L3" s="34"/>
    </row>
    <row r="4" spans="2:12" ht="12" customHeight="1">
      <c r="B4" s="32"/>
      <c r="C4" s="249" t="s">
        <v>131</v>
      </c>
      <c r="E4" s="146"/>
      <c r="F4" s="146"/>
      <c r="G4" s="146"/>
      <c r="J4" s="146"/>
      <c r="K4" s="248" t="s">
        <v>132</v>
      </c>
      <c r="L4" s="34"/>
    </row>
    <row r="5" spans="2:12" ht="12">
      <c r="B5" s="32"/>
      <c r="C5" s="33"/>
      <c r="D5" s="33"/>
      <c r="E5" s="33"/>
      <c r="F5" s="33"/>
      <c r="G5" s="33"/>
      <c r="H5" s="33"/>
      <c r="I5" s="33"/>
      <c r="J5" s="33"/>
      <c r="K5" s="33"/>
      <c r="L5" s="34"/>
    </row>
    <row r="6" spans="2:13" ht="12">
      <c r="B6" s="32"/>
      <c r="C6" s="33"/>
      <c r="E6" s="89" t="s">
        <v>119</v>
      </c>
      <c r="F6" s="6">
        <v>3</v>
      </c>
      <c r="G6" s="20" t="s">
        <v>0</v>
      </c>
      <c r="H6" s="7" t="s">
        <v>1</v>
      </c>
      <c r="I6" s="7"/>
      <c r="J6" s="8" t="str">
        <f>FIXED(10^(F6/10),3)</f>
        <v>1.995</v>
      </c>
      <c r="K6" s="9"/>
      <c r="L6" s="25"/>
      <c r="M6" s="9"/>
    </row>
    <row r="7" spans="2:13" ht="12">
      <c r="B7" s="32"/>
      <c r="C7" s="33"/>
      <c r="D7" s="22"/>
      <c r="E7" s="22"/>
      <c r="F7" s="33"/>
      <c r="G7" s="33"/>
      <c r="H7" s="33"/>
      <c r="I7" s="33"/>
      <c r="J7" s="9"/>
      <c r="K7" s="9"/>
      <c r="L7" s="25"/>
      <c r="M7" s="9"/>
    </row>
    <row r="8" spans="2:13" ht="12.75" thickBot="1">
      <c r="B8" s="32"/>
      <c r="C8" s="33"/>
      <c r="D8" s="493" t="s">
        <v>57</v>
      </c>
      <c r="E8" s="493"/>
      <c r="F8" s="493"/>
      <c r="G8" s="493"/>
      <c r="H8" s="493"/>
      <c r="I8" s="493"/>
      <c r="J8" s="493"/>
      <c r="K8" s="10"/>
      <c r="L8" s="25"/>
      <c r="M8" s="9"/>
    </row>
    <row r="9" spans="2:13" ht="6" customHeight="1" thickBot="1" thickTop="1">
      <c r="B9" s="32"/>
      <c r="C9" s="33"/>
      <c r="D9" s="9"/>
      <c r="E9" s="9"/>
      <c r="F9" s="11"/>
      <c r="G9" s="12"/>
      <c r="H9" s="11"/>
      <c r="I9" s="11"/>
      <c r="J9" s="9"/>
      <c r="K9" s="10"/>
      <c r="L9" s="25"/>
      <c r="M9" s="9"/>
    </row>
    <row r="10" spans="2:13" ht="12.75" customHeight="1" thickBot="1">
      <c r="B10" s="32"/>
      <c r="C10" s="33"/>
      <c r="D10" s="13"/>
      <c r="E10" s="13"/>
      <c r="F10" s="429">
        <f>(D12*(J6+1)-2*SQRT(J6*D12*J12))/(J6-1)</f>
        <v>8.548272443964485</v>
      </c>
      <c r="G10" s="14"/>
      <c r="H10" s="429">
        <f>(J12*(J6+1)-2*SQRT(J6*D12*J12))/(J6-1)</f>
        <v>8.548272443964485</v>
      </c>
      <c r="I10" s="19"/>
      <c r="J10" s="15"/>
      <c r="K10" s="16"/>
      <c r="L10" s="26"/>
      <c r="M10" s="17"/>
    </row>
    <row r="11" spans="2:13" ht="12.75" customHeight="1" thickBot="1">
      <c r="B11" s="32"/>
      <c r="C11" s="33"/>
      <c r="D11" s="18"/>
      <c r="E11" s="18"/>
      <c r="F11" s="33"/>
      <c r="G11" s="18"/>
      <c r="H11" s="33"/>
      <c r="I11" s="33"/>
      <c r="J11" s="18"/>
      <c r="K11" s="17"/>
      <c r="L11" s="26"/>
      <c r="M11" s="17"/>
    </row>
    <row r="12" spans="2:13" ht="12.75" customHeight="1" thickBot="1">
      <c r="B12" s="32"/>
      <c r="C12" s="91" t="s">
        <v>55</v>
      </c>
      <c r="D12" s="24">
        <v>50</v>
      </c>
      <c r="E12" s="18"/>
      <c r="F12" s="21"/>
      <c r="G12" s="429">
        <f>2*SQRT(J6*D12*J12)/(J6-1)</f>
        <v>141.95424011884955</v>
      </c>
      <c r="H12" s="21"/>
      <c r="I12" s="21"/>
      <c r="J12" s="24">
        <v>50</v>
      </c>
      <c r="K12" s="92" t="s">
        <v>54</v>
      </c>
      <c r="L12" s="26"/>
      <c r="M12" s="17"/>
    </row>
    <row r="13" spans="2:13" ht="12.75" customHeight="1">
      <c r="B13" s="32"/>
      <c r="C13" s="33"/>
      <c r="D13" s="33"/>
      <c r="E13" s="33"/>
      <c r="F13" s="33"/>
      <c r="G13" s="33"/>
      <c r="H13" s="33"/>
      <c r="I13" s="33"/>
      <c r="J13" s="33"/>
      <c r="K13" s="33"/>
      <c r="L13" s="26"/>
      <c r="M13" s="17"/>
    </row>
    <row r="14" spans="2:13" ht="12.75" customHeight="1">
      <c r="B14" s="32"/>
      <c r="C14" s="33"/>
      <c r="D14" s="18"/>
      <c r="E14" s="18"/>
      <c r="F14" s="18"/>
      <c r="G14" s="18"/>
      <c r="H14" s="18"/>
      <c r="I14" s="18"/>
      <c r="J14" s="18"/>
      <c r="K14" s="17"/>
      <c r="L14" s="26"/>
      <c r="M14" s="17"/>
    </row>
    <row r="15" spans="2:13" ht="6" customHeight="1">
      <c r="B15" s="32"/>
      <c r="C15" s="33"/>
      <c r="D15" s="13"/>
      <c r="E15" s="13"/>
      <c r="F15" s="14"/>
      <c r="G15" s="14"/>
      <c r="H15" s="14"/>
      <c r="I15" s="14"/>
      <c r="J15" s="15"/>
      <c r="K15" s="17"/>
      <c r="L15" s="26"/>
      <c r="M15" s="17"/>
    </row>
    <row r="16" spans="2:13" ht="12">
      <c r="B16" s="32"/>
      <c r="C16" s="33"/>
      <c r="D16" s="9"/>
      <c r="E16" s="9"/>
      <c r="F16" s="9"/>
      <c r="G16" s="27" t="s">
        <v>56</v>
      </c>
      <c r="H16" s="9"/>
      <c r="I16" s="9"/>
      <c r="J16" s="9"/>
      <c r="K16" s="17"/>
      <c r="L16" s="26"/>
      <c r="M16" s="17"/>
    </row>
    <row r="17" spans="2:13" ht="6" customHeight="1">
      <c r="B17" s="32"/>
      <c r="C17" s="33"/>
      <c r="D17" s="9"/>
      <c r="E17" s="9"/>
      <c r="F17" s="9"/>
      <c r="G17" s="23"/>
      <c r="H17" s="9"/>
      <c r="I17" s="9"/>
      <c r="J17" s="9"/>
      <c r="K17" s="17"/>
      <c r="L17" s="26"/>
      <c r="M17" s="17"/>
    </row>
    <row r="18" spans="2:13" ht="13.5" thickBot="1">
      <c r="B18" s="32"/>
      <c r="C18" s="33"/>
      <c r="D18" s="493" t="s">
        <v>108</v>
      </c>
      <c r="E18" s="493"/>
      <c r="F18" s="493"/>
      <c r="G18" s="493"/>
      <c r="H18" s="493"/>
      <c r="I18" s="493"/>
      <c r="J18" s="493"/>
      <c r="K18" s="9"/>
      <c r="L18" s="25"/>
      <c r="M18" s="9"/>
    </row>
    <row r="19" spans="2:13" ht="6" customHeight="1" thickBot="1" thickTop="1">
      <c r="B19" s="32"/>
      <c r="C19" s="33"/>
      <c r="D19" s="12"/>
      <c r="E19" s="12"/>
      <c r="F19" s="12"/>
      <c r="G19" s="12"/>
      <c r="H19" s="12"/>
      <c r="I19" s="12"/>
      <c r="J19" s="12"/>
      <c r="K19" s="9"/>
      <c r="L19" s="25"/>
      <c r="M19" s="9"/>
    </row>
    <row r="20" spans="2:13" ht="12.75" customHeight="1" thickBot="1">
      <c r="B20" s="32"/>
      <c r="C20" s="33"/>
      <c r="D20" s="18"/>
      <c r="E20" s="18"/>
      <c r="F20" s="18"/>
      <c r="G20" s="429">
        <f>(J6-1)/2*SQRT(D22*J22/J6)</f>
        <v>17.61130909444412</v>
      </c>
      <c r="H20" s="18"/>
      <c r="I20" s="18"/>
      <c r="J20" s="18"/>
      <c r="K20" s="9"/>
      <c r="L20" s="25"/>
      <c r="M20" s="9"/>
    </row>
    <row r="21" spans="2:13" ht="12.75" customHeight="1" thickBot="1">
      <c r="B21" s="32"/>
      <c r="C21" s="33"/>
      <c r="D21" s="18"/>
      <c r="E21" s="18"/>
      <c r="F21" s="18"/>
      <c r="G21" s="19"/>
      <c r="H21" s="18"/>
      <c r="I21" s="18"/>
      <c r="J21" s="18"/>
      <c r="K21" s="9"/>
      <c r="L21" s="25"/>
      <c r="M21" s="9"/>
    </row>
    <row r="22" spans="2:13" ht="12.75" customHeight="1" thickBot="1">
      <c r="B22" s="32"/>
      <c r="C22" s="91" t="s">
        <v>55</v>
      </c>
      <c r="D22" s="38">
        <v>50</v>
      </c>
      <c r="E22" s="18"/>
      <c r="F22" s="429">
        <f>(J6-1)*D22*SQRT(J22)/((J6+1)*SQRT(J22)-2*SQRT(J6*D22))</f>
        <v>292.45675268166275</v>
      </c>
      <c r="G22" s="11"/>
      <c r="H22" s="429">
        <f>(J6-1)*J22*SQRT(D22)/((J6+1)*SQRT(D22)-2*SQRT(J6*J22))</f>
        <v>292.45675268166275</v>
      </c>
      <c r="I22" s="19"/>
      <c r="J22" s="38">
        <v>50</v>
      </c>
      <c r="K22" s="92" t="s">
        <v>54</v>
      </c>
      <c r="L22" s="25"/>
      <c r="M22" s="9"/>
    </row>
    <row r="23" spans="2:12" ht="12.75" customHeight="1">
      <c r="B23" s="32"/>
      <c r="C23" s="33"/>
      <c r="D23" s="33"/>
      <c r="E23" s="33"/>
      <c r="F23" s="33"/>
      <c r="G23" s="33"/>
      <c r="H23" s="33"/>
      <c r="I23" s="33"/>
      <c r="J23" s="33"/>
      <c r="K23" s="33"/>
      <c r="L23" s="34"/>
    </row>
    <row r="24" spans="2:12" ht="12.75" customHeight="1">
      <c r="B24" s="32"/>
      <c r="C24" s="33"/>
      <c r="D24" s="33"/>
      <c r="E24" s="33"/>
      <c r="F24" s="33"/>
      <c r="G24" s="33"/>
      <c r="H24" s="33"/>
      <c r="I24" s="33"/>
      <c r="J24" s="33"/>
      <c r="K24" s="33"/>
      <c r="L24" s="34"/>
    </row>
    <row r="25" spans="2:12" ht="12">
      <c r="B25" s="32"/>
      <c r="C25" s="81" t="str">
        <f>Home!$D$7&amp;", "&amp;Home!$D$8&amp;", "&amp;Home!$D$9</f>
        <v>RF Cafe Calculator Workbook, v6.0, by RF Cafe</v>
      </c>
      <c r="D25" s="33"/>
      <c r="E25" s="33"/>
      <c r="F25" s="33"/>
      <c r="G25" s="33"/>
      <c r="H25" s="33"/>
      <c r="I25" s="33"/>
      <c r="J25" s="33"/>
      <c r="K25" s="420" t="s">
        <v>197</v>
      </c>
      <c r="L25" s="34"/>
    </row>
    <row r="26" spans="2:12" ht="6" customHeight="1" thickBot="1">
      <c r="B26" s="35"/>
      <c r="C26" s="36"/>
      <c r="D26" s="36"/>
      <c r="E26" s="36"/>
      <c r="F26" s="36"/>
      <c r="G26" s="36"/>
      <c r="H26" s="36"/>
      <c r="I26" s="36"/>
      <c r="J26" s="36"/>
      <c r="K26" s="36"/>
      <c r="L26" s="37"/>
    </row>
    <row r="27" ht="3" customHeight="1" thickTop="1"/>
    <row r="28" ht="12" hidden="1"/>
    <row r="29" ht="12" hidden="1"/>
    <row r="30" ht="12" hidden="1"/>
    <row r="31" ht="12" hidden="1"/>
    <row r="32" ht="12" hidden="1"/>
    <row r="33" ht="12" hidden="1"/>
    <row r="34" ht="12" hidden="1"/>
    <row r="35" ht="12" hidden="1"/>
    <row r="36" ht="12" hidden="1"/>
    <row r="37" ht="12" hidden="1"/>
    <row r="38" ht="12" hidden="1"/>
    <row r="39" ht="12" hidden="1"/>
    <row r="40" ht="12" hidden="1"/>
  </sheetData>
  <sheetProtection password="F39F" sheet="1" objects="1" scenarios="1"/>
  <mergeCells count="3">
    <mergeCell ref="D8:J8"/>
    <mergeCell ref="D18:J18"/>
    <mergeCell ref="C3:K3"/>
  </mergeCells>
  <conditionalFormatting sqref="G16">
    <cfRule type="expression" priority="1" dxfId="0" stopIfTrue="1">
      <formula>OR(F10&lt;0,G12&lt;0,H10&lt;0,F22&lt;0,G20&lt;0,H22&lt;0)</formula>
    </cfRule>
  </conditionalFormatting>
  <conditionalFormatting sqref="G12 F10 H10:I10 H22:I22 G20 F22">
    <cfRule type="cellIs" priority="2" dxfId="0" operator="lessThan" stopIfTrue="1">
      <formula>0</formula>
    </cfRule>
  </conditionalFormatting>
  <dataValidations count="2">
    <dataValidation type="decimal" operator="greaterThan" allowBlank="1" showInputMessage="1" showErrorMessage="1" error="Enter value &gt; 0" sqref="E12">
      <formula1>0</formula1>
    </dataValidation>
    <dataValidation type="decimal" operator="greaterThan" showInputMessage="1" showErrorMessage="1" error="Enter value &gt; 0" sqref="F6 J12 J22 D22 D12">
      <formula1>0</formula1>
    </dataValidation>
  </dataValidations>
  <hyperlinks>
    <hyperlink ref="K4" r:id="rId1" tooltip="Click here to check for updates to this calculator" display="Click here to check for Updates"/>
    <hyperlink ref="C4" r:id="rId2" display="Click here for the online version"/>
    <hyperlink ref="K25" location="Home!D7" tooltip="Click to return to title page with calculator list" display="Home"/>
  </hyperlinks>
  <printOptions/>
  <pageMargins left="0.5" right="0.5" top="0.5" bottom="0.5" header="0.5" footer="0.5"/>
  <pageSetup fitToHeight="1" fitToWidth="1" horizontalDpi="600" verticalDpi="600" orientation="portrait" r:id="rId6"/>
  <drawing r:id="rId5"/>
  <legacyDrawing r:id="rId4"/>
</worksheet>
</file>

<file path=xl/worksheets/sheet20.xml><?xml version="1.0" encoding="utf-8"?>
<worksheet xmlns="http://schemas.openxmlformats.org/spreadsheetml/2006/main" xmlns:r="http://schemas.openxmlformats.org/officeDocument/2006/relationships">
  <sheetPr codeName="Sheet18">
    <pageSetUpPr fitToPage="1"/>
  </sheetPr>
  <dimension ref="B2:P29"/>
  <sheetViews>
    <sheetView showGridLines="0" showRowColHeaders="0" workbookViewId="0" topLeftCell="A1">
      <selection activeCell="E5" sqref="E5"/>
    </sheetView>
  </sheetViews>
  <sheetFormatPr defaultColWidth="9.140625" defaultRowHeight="12" zeroHeight="1"/>
  <cols>
    <col min="1" max="1" width="0.5625" style="135" customWidth="1"/>
    <col min="2" max="3" width="1.1484375" style="135" customWidth="1"/>
    <col min="4" max="7" width="9.140625" style="135" customWidth="1"/>
    <col min="8" max="8" width="3.8515625" style="135" customWidth="1"/>
    <col min="9" max="12" width="9.140625" style="135" customWidth="1"/>
    <col min="13" max="14" width="1.1484375" style="135" customWidth="1"/>
    <col min="15" max="15" width="0.5625" style="135" customWidth="1"/>
    <col min="16" max="16384" width="0" style="135" hidden="1" customWidth="1"/>
  </cols>
  <sheetData>
    <row r="1" ht="3" customHeight="1" thickBot="1"/>
    <row r="2" spans="2:14" ht="6" customHeight="1" thickTop="1">
      <c r="B2" s="136"/>
      <c r="C2" s="137"/>
      <c r="D2" s="137"/>
      <c r="E2" s="137"/>
      <c r="F2" s="137"/>
      <c r="G2" s="137"/>
      <c r="H2" s="137"/>
      <c r="I2" s="137"/>
      <c r="J2" s="137"/>
      <c r="K2" s="137"/>
      <c r="L2" s="137"/>
      <c r="M2" s="137"/>
      <c r="N2" s="138"/>
    </row>
    <row r="3" spans="2:14" ht="13.5">
      <c r="B3" s="139"/>
      <c r="C3" s="481" t="s">
        <v>300</v>
      </c>
      <c r="D3" s="481"/>
      <c r="E3" s="481"/>
      <c r="F3" s="481"/>
      <c r="G3" s="481"/>
      <c r="H3" s="481"/>
      <c r="I3" s="481"/>
      <c r="J3" s="481"/>
      <c r="K3" s="481"/>
      <c r="L3" s="481"/>
      <c r="M3" s="481"/>
      <c r="N3" s="140"/>
    </row>
    <row r="4" spans="2:14" ht="12.75">
      <c r="B4" s="139"/>
      <c r="C4" s="249"/>
      <c r="E4" s="167"/>
      <c r="F4" s="167"/>
      <c r="G4" s="167"/>
      <c r="L4" s="248" t="s">
        <v>132</v>
      </c>
      <c r="N4" s="140"/>
    </row>
    <row r="5" spans="2:14" ht="12">
      <c r="B5" s="139"/>
      <c r="C5" s="249"/>
      <c r="D5" s="419" t="s">
        <v>297</v>
      </c>
      <c r="E5" s="426">
        <v>50</v>
      </c>
      <c r="F5" s="417" t="s">
        <v>2</v>
      </c>
      <c r="G5"/>
      <c r="H5"/>
      <c r="I5"/>
      <c r="J5"/>
      <c r="K5"/>
      <c r="L5"/>
      <c r="N5" s="140"/>
    </row>
    <row r="6" spans="2:14" ht="12">
      <c r="B6" s="139"/>
      <c r="C6" s="249"/>
      <c r="D6"/>
      <c r="E6"/>
      <c r="F6"/>
      <c r="G6"/>
      <c r="H6"/>
      <c r="I6"/>
      <c r="J6"/>
      <c r="K6"/>
      <c r="L6"/>
      <c r="N6" s="140"/>
    </row>
    <row r="7" spans="2:14" ht="12.75" thickBot="1">
      <c r="B7" s="139"/>
      <c r="C7" s="249"/>
      <c r="D7" s="422" t="s">
        <v>296</v>
      </c>
      <c r="E7" s="423" t="s">
        <v>286</v>
      </c>
      <c r="F7" s="423" t="s">
        <v>287</v>
      </c>
      <c r="G7" s="423" t="s">
        <v>288</v>
      </c>
      <c r="H7" s="418"/>
      <c r="I7" s="422" t="s">
        <v>296</v>
      </c>
      <c r="J7" s="423" t="s">
        <v>286</v>
      </c>
      <c r="K7" s="423" t="s">
        <v>287</v>
      </c>
      <c r="L7" s="423" t="s">
        <v>288</v>
      </c>
      <c r="N7" s="140"/>
    </row>
    <row r="8" spans="2:14" ht="12">
      <c r="B8" s="139"/>
      <c r="C8" s="249"/>
      <c r="D8" s="419" t="s">
        <v>291</v>
      </c>
      <c r="E8" s="424">
        <v>1</v>
      </c>
      <c r="F8" s="424">
        <v>1</v>
      </c>
      <c r="G8" s="424">
        <v>1</v>
      </c>
      <c r="H8"/>
      <c r="I8" s="419" t="s">
        <v>291</v>
      </c>
      <c r="J8" s="425">
        <f>J9/$E$27</f>
        <v>1</v>
      </c>
      <c r="K8" s="425">
        <f>K9</f>
        <v>1</v>
      </c>
      <c r="L8" s="425">
        <f>L9/$G$27</f>
        <v>1</v>
      </c>
      <c r="N8" s="140"/>
    </row>
    <row r="9" spans="2:14" ht="12">
      <c r="B9" s="139"/>
      <c r="C9" s="249"/>
      <c r="D9" s="419" t="s">
        <v>292</v>
      </c>
      <c r="E9" s="414">
        <f>E8*$E$27</f>
        <v>0.7071067811865475</v>
      </c>
      <c r="F9" s="414">
        <f>F8</f>
        <v>1</v>
      </c>
      <c r="G9" s="414">
        <f>G8*$G$27</f>
        <v>0.5773502691896258</v>
      </c>
      <c r="H9"/>
      <c r="I9" s="419" t="s">
        <v>292</v>
      </c>
      <c r="J9" s="426">
        <v>0.7071067811865475</v>
      </c>
      <c r="K9" s="426">
        <v>1</v>
      </c>
      <c r="L9" s="426">
        <v>0.5773502691896258</v>
      </c>
      <c r="N9" s="140"/>
    </row>
    <row r="10" spans="2:14" ht="12">
      <c r="B10" s="139"/>
      <c r="C10" s="249"/>
      <c r="D10" s="419" t="s">
        <v>293</v>
      </c>
      <c r="E10" s="414">
        <f>E8*2/PI()</f>
        <v>0.6366197723675814</v>
      </c>
      <c r="F10" s="414">
        <f>F8</f>
        <v>1</v>
      </c>
      <c r="G10" s="414">
        <f>G8/2</f>
        <v>0.5</v>
      </c>
      <c r="H10"/>
      <c r="I10" s="419" t="s">
        <v>293</v>
      </c>
      <c r="J10" s="414">
        <f>J8*2/PI()</f>
        <v>0.6366197723675814</v>
      </c>
      <c r="K10" s="414">
        <f>K8</f>
        <v>1</v>
      </c>
      <c r="L10" s="414">
        <f>L8/2</f>
        <v>0.5</v>
      </c>
      <c r="N10" s="140"/>
    </row>
    <row r="11" spans="2:14" ht="12">
      <c r="B11" s="139"/>
      <c r="C11" s="249"/>
      <c r="D11" s="419" t="s">
        <v>294</v>
      </c>
      <c r="E11" s="414">
        <f>E9^2/$E$5*1000</f>
        <v>9.999999999999998</v>
      </c>
      <c r="F11" s="414">
        <f>F9^2/$E$5*1000</f>
        <v>20</v>
      </c>
      <c r="G11" s="414">
        <f>G9^2/$E$5*1000</f>
        <v>6.666666666666669</v>
      </c>
      <c r="H11"/>
      <c r="I11" s="419" t="s">
        <v>294</v>
      </c>
      <c r="J11" s="414">
        <f>J9^2/$E$5*1000</f>
        <v>9.999999999999998</v>
      </c>
      <c r="K11" s="414">
        <f>K9^2/$E$5*1000</f>
        <v>20</v>
      </c>
      <c r="L11" s="414">
        <f>L9^2/$E$5*1000</f>
        <v>6.666666666666669</v>
      </c>
      <c r="N11" s="140"/>
    </row>
    <row r="12" spans="2:14" ht="12">
      <c r="B12" s="139"/>
      <c r="C12"/>
      <c r="D12" s="419" t="s">
        <v>295</v>
      </c>
      <c r="E12" s="414">
        <f>10*LOG(E11)</f>
        <v>9.999999999999998</v>
      </c>
      <c r="F12" s="414">
        <f>10*LOG(F11)</f>
        <v>13.010299956639813</v>
      </c>
      <c r="G12" s="414">
        <f>10*LOG(G11)</f>
        <v>8.239087409443188</v>
      </c>
      <c r="H12"/>
      <c r="I12" s="419" t="s">
        <v>295</v>
      </c>
      <c r="J12" s="414">
        <f>10*LOG(J11)</f>
        <v>9.999999999999998</v>
      </c>
      <c r="K12" s="414">
        <f>10*LOG(K11)</f>
        <v>13.010299956639813</v>
      </c>
      <c r="L12" s="414">
        <f>10*LOG(L11)</f>
        <v>8.239087409443188</v>
      </c>
      <c r="N12" s="140"/>
    </row>
    <row r="13" spans="2:14" ht="12">
      <c r="B13" s="139"/>
      <c r="C13"/>
      <c r="D13" s="419" t="s">
        <v>299</v>
      </c>
      <c r="E13" s="414">
        <f>20*LOG(E9/$E$26)</f>
        <v>-0.7918124604762489</v>
      </c>
      <c r="F13" s="414">
        <f>20*LOG(F9/$E$26)</f>
        <v>2.218487496163563</v>
      </c>
      <c r="G13" s="414">
        <f>20*LOG(G9/$G$26)</f>
        <v>-2.5527250510330597</v>
      </c>
      <c r="H13"/>
      <c r="I13" s="419" t="s">
        <v>299</v>
      </c>
      <c r="J13" s="414">
        <f>20*LOG(J9/$E$26)</f>
        <v>-0.7918124604762489</v>
      </c>
      <c r="K13" s="414">
        <f>20*LOG(K9/$E$26)</f>
        <v>2.218487496163563</v>
      </c>
      <c r="L13" s="414">
        <f>20*LOG(L9/$G$26)</f>
        <v>-2.5527250510330597</v>
      </c>
      <c r="N13" s="140"/>
    </row>
    <row r="14" spans="2:14" ht="12">
      <c r="B14" s="139"/>
      <c r="C14"/>
      <c r="D14" s="419" t="s">
        <v>298</v>
      </c>
      <c r="E14" s="414">
        <f>20*LOG(E9)</f>
        <v>-3.0102999566398125</v>
      </c>
      <c r="F14" s="414">
        <f>20*LOG(F8*$F$27)</f>
        <v>0</v>
      </c>
      <c r="G14" s="414">
        <f>20*LOG(G9)</f>
        <v>-4.771212547196623</v>
      </c>
      <c r="H14"/>
      <c r="I14" s="419" t="s">
        <v>298</v>
      </c>
      <c r="J14" s="414">
        <f>20*LOG(J9)</f>
        <v>-3.0102999566398125</v>
      </c>
      <c r="K14" s="414">
        <f>20*LOG(K8*$F$27)</f>
        <v>0</v>
      </c>
      <c r="L14" s="414">
        <f>20*LOG(L9)</f>
        <v>-4.771212547196623</v>
      </c>
      <c r="N14" s="140"/>
    </row>
    <row r="15" spans="2:14" ht="12">
      <c r="B15" s="139"/>
      <c r="C15"/>
      <c r="D15"/>
      <c r="E15"/>
      <c r="F15"/>
      <c r="G15"/>
      <c r="H15"/>
      <c r="I15"/>
      <c r="J15"/>
      <c r="K15"/>
      <c r="L15"/>
      <c r="N15" s="140"/>
    </row>
    <row r="16" spans="2:14" ht="12">
      <c r="B16" s="139"/>
      <c r="C16"/>
      <c r="D16" s="415" t="s">
        <v>289</v>
      </c>
      <c r="E16"/>
      <c r="F16"/>
      <c r="G16"/>
      <c r="H16"/>
      <c r="I16"/>
      <c r="J16"/>
      <c r="K16"/>
      <c r="L16"/>
      <c r="N16" s="140"/>
    </row>
    <row r="17" spans="2:14" ht="12">
      <c r="B17" s="139"/>
      <c r="C17"/>
      <c r="D17" s="415" t="s">
        <v>290</v>
      </c>
      <c r="E17"/>
      <c r="F17"/>
      <c r="G17"/>
      <c r="H17"/>
      <c r="I17"/>
      <c r="J17"/>
      <c r="K17"/>
      <c r="L17"/>
      <c r="N17" s="140"/>
    </row>
    <row r="18" spans="2:14" ht="12">
      <c r="B18" s="139"/>
      <c r="C18"/>
      <c r="D18" s="415"/>
      <c r="E18"/>
      <c r="F18"/>
      <c r="G18"/>
      <c r="H18"/>
      <c r="I18"/>
      <c r="J18"/>
      <c r="K18"/>
      <c r="L18"/>
      <c r="N18" s="140"/>
    </row>
    <row r="19" spans="2:14" ht="12">
      <c r="B19" s="139"/>
      <c r="C19" s="102" t="str">
        <f>Home!$D$7&amp;", "&amp;Home!$D$8&amp;", "&amp;Home!$D$9</f>
        <v>RF Cafe Calculator Workbook, v6.0, by RF Cafe</v>
      </c>
      <c r="E19"/>
      <c r="F19"/>
      <c r="G19"/>
      <c r="H19"/>
      <c r="I19"/>
      <c r="J19"/>
      <c r="K19"/>
      <c r="L19" s="420" t="s">
        <v>197</v>
      </c>
      <c r="N19" s="140"/>
    </row>
    <row r="20" spans="2:16" ht="6" customHeight="1" thickBot="1">
      <c r="B20" s="142"/>
      <c r="C20" s="143"/>
      <c r="D20" s="143"/>
      <c r="E20" s="143"/>
      <c r="F20" s="143"/>
      <c r="G20" s="143"/>
      <c r="H20" s="143"/>
      <c r="I20" s="143"/>
      <c r="J20" s="143"/>
      <c r="K20" s="143"/>
      <c r="L20" s="143"/>
      <c r="M20" s="143"/>
      <c r="N20" s="416"/>
      <c r="O20"/>
      <c r="P20"/>
    </row>
    <row r="21" spans="14:16" ht="3" customHeight="1" thickTop="1">
      <c r="N21"/>
      <c r="O21"/>
      <c r="P21"/>
    </row>
    <row r="22" spans="4:12" ht="12" hidden="1">
      <c r="D22" s="415"/>
      <c r="E22"/>
      <c r="F22"/>
      <c r="G22"/>
      <c r="H22"/>
      <c r="I22"/>
      <c r="J22"/>
      <c r="K22"/>
      <c r="L22"/>
    </row>
    <row r="23" spans="4:12" ht="12" hidden="1">
      <c r="D23" s="415"/>
      <c r="E23"/>
      <c r="F23"/>
      <c r="G23"/>
      <c r="H23"/>
      <c r="I23"/>
      <c r="J23"/>
      <c r="K23"/>
      <c r="L23"/>
    </row>
    <row r="24" spans="4:12" ht="12" hidden="1">
      <c r="D24" s="415"/>
      <c r="F24"/>
      <c r="G24"/>
      <c r="H24"/>
      <c r="I24"/>
      <c r="J24"/>
      <c r="K24"/>
      <c r="L24"/>
    </row>
    <row r="25" spans="4:12" ht="12" hidden="1">
      <c r="D25"/>
      <c r="E25"/>
      <c r="F25"/>
      <c r="G25"/>
      <c r="H25"/>
      <c r="I25"/>
      <c r="J25"/>
      <c r="K25"/>
      <c r="L25"/>
    </row>
    <row r="26" spans="4:12" ht="12" hidden="1">
      <c r="D26"/>
      <c r="E26">
        <f>SQRT(0.001*600)</f>
        <v>0.7745966692414834</v>
      </c>
      <c r="F26">
        <f>SQRT(0.001*600)</f>
        <v>0.7745966692414834</v>
      </c>
      <c r="G26">
        <f>SQRT(0.001*600)</f>
        <v>0.7745966692414834</v>
      </c>
      <c r="H26"/>
      <c r="I26"/>
      <c r="J26"/>
      <c r="K26"/>
      <c r="L26"/>
    </row>
    <row r="27" spans="4:12" ht="12" hidden="1">
      <c r="D27"/>
      <c r="E27">
        <f>1/SQRT(2)</f>
        <v>0.7071067811865475</v>
      </c>
      <c r="F27">
        <v>1</v>
      </c>
      <c r="G27">
        <f>1/SQRT(3)</f>
        <v>0.5773502691896258</v>
      </c>
      <c r="H27"/>
      <c r="I27"/>
      <c r="J27"/>
      <c r="K27"/>
      <c r="L27"/>
    </row>
    <row r="28" ht="12" hidden="1"/>
    <row r="29" ht="12" hidden="1">
      <c r="E29" s="415" t="s">
        <v>285</v>
      </c>
    </row>
    <row r="30" ht="12" hidden="1"/>
  </sheetData>
  <sheetProtection password="F39F" sheet="1" objects="1" scenarios="1"/>
  <mergeCells count="1">
    <mergeCell ref="C3:M3"/>
  </mergeCells>
  <hyperlinks>
    <hyperlink ref="L4" r:id="rId1" tooltip="Click here to check for updates to this calculator" display="Click here to check for Updates"/>
    <hyperlink ref="J19" location="Home!D7" tooltip="Click to return to title page with calculator list" display="Home"/>
    <hyperlink ref="L19" location="Home!D7" tooltip="Click to return to title page with calculator list" display="Home"/>
  </hyperlinks>
  <printOptions/>
  <pageMargins left="0.5" right="0.5" top="0.5" bottom="0.5" header="0.5" footer="0.5"/>
  <pageSetup fitToHeight="1" fitToWidth="1" horizontalDpi="600" verticalDpi="600" orientation="portrait" r:id="rId4"/>
  <ignoredErrors>
    <ignoredError sqref="K14 F14" formula="1"/>
  </ignoredErrors>
  <legacyDrawing r:id="rId3"/>
</worksheet>
</file>

<file path=xl/worksheets/sheet21.xml><?xml version="1.0" encoding="utf-8"?>
<worksheet xmlns="http://schemas.openxmlformats.org/spreadsheetml/2006/main" xmlns:r="http://schemas.openxmlformats.org/officeDocument/2006/relationships">
  <sheetPr codeName="Sheet8">
    <pageSetUpPr fitToPage="1"/>
  </sheetPr>
  <dimension ref="B2:K20"/>
  <sheetViews>
    <sheetView showGridLines="0" showRowColHeaders="0" workbookViewId="0" topLeftCell="A1">
      <selection activeCell="E9" sqref="E9:I9"/>
    </sheetView>
  </sheetViews>
  <sheetFormatPr defaultColWidth="9.140625" defaultRowHeight="12" zeroHeight="1"/>
  <cols>
    <col min="1" max="1" width="0.5625" style="0" customWidth="1"/>
    <col min="2" max="2" width="1.1484375" style="0" customWidth="1"/>
    <col min="5" max="9" width="9.7109375" style="0" customWidth="1"/>
    <col min="11" max="11" width="1.1484375" style="0" customWidth="1"/>
    <col min="12" max="12" width="0.5625" style="0" customWidth="1"/>
    <col min="13" max="16384" width="0" style="0" hidden="1" customWidth="1"/>
  </cols>
  <sheetData>
    <row r="1" ht="3" customHeight="1" thickBot="1"/>
    <row r="2" spans="2:11" ht="6" customHeight="1" thickTop="1">
      <c r="B2" s="40"/>
      <c r="C2" s="41"/>
      <c r="D2" s="41"/>
      <c r="E2" s="41"/>
      <c r="F2" s="41"/>
      <c r="G2" s="41"/>
      <c r="H2" s="41"/>
      <c r="I2" s="41"/>
      <c r="J2" s="41"/>
      <c r="K2" s="42"/>
    </row>
    <row r="3" spans="2:11" ht="12">
      <c r="B3" s="43"/>
      <c r="C3" s="39"/>
      <c r="D3" s="489" t="s">
        <v>140</v>
      </c>
      <c r="E3" s="489"/>
      <c r="F3" s="489"/>
      <c r="G3" s="489"/>
      <c r="H3" s="489"/>
      <c r="I3" s="489"/>
      <c r="J3" s="39"/>
      <c r="K3" s="44"/>
    </row>
    <row r="4" spans="2:11" ht="12">
      <c r="B4" s="43"/>
      <c r="C4" s="39"/>
      <c r="D4" s="491" t="s">
        <v>141</v>
      </c>
      <c r="E4" s="491"/>
      <c r="F4" s="491"/>
      <c r="G4" s="491"/>
      <c r="H4" s="491"/>
      <c r="I4" s="491"/>
      <c r="J4" s="39"/>
      <c r="K4" s="44"/>
    </row>
    <row r="5" spans="2:11" ht="12.75" thickBot="1">
      <c r="B5" s="43"/>
      <c r="C5" s="39"/>
      <c r="D5" s="327" t="s">
        <v>142</v>
      </c>
      <c r="E5" s="538" t="s">
        <v>143</v>
      </c>
      <c r="F5" s="538"/>
      <c r="G5" s="538"/>
      <c r="H5" s="538"/>
      <c r="I5" s="538"/>
      <c r="J5" s="39"/>
      <c r="K5" s="44"/>
    </row>
    <row r="6" spans="2:11" ht="12.75" thickTop="1">
      <c r="B6" s="43"/>
      <c r="C6" s="39"/>
      <c r="D6" s="325">
        <v>1</v>
      </c>
      <c r="E6" s="539" t="s">
        <v>278</v>
      </c>
      <c r="F6" s="540"/>
      <c r="G6" s="540"/>
      <c r="H6" s="540"/>
      <c r="I6" s="540"/>
      <c r="J6" s="39"/>
      <c r="K6" s="44"/>
    </row>
    <row r="7" spans="2:11" ht="12">
      <c r="B7" s="43"/>
      <c r="C7" s="39"/>
      <c r="D7" s="326">
        <v>2</v>
      </c>
      <c r="E7" s="534" t="s">
        <v>189</v>
      </c>
      <c r="F7" s="535"/>
      <c r="G7" s="535"/>
      <c r="H7" s="535"/>
      <c r="I7" s="535"/>
      <c r="J7" s="39"/>
      <c r="K7" s="44"/>
    </row>
    <row r="8" spans="2:11" ht="12">
      <c r="B8" s="43"/>
      <c r="C8" s="246"/>
      <c r="D8" s="326">
        <v>3</v>
      </c>
      <c r="E8" s="534" t="s">
        <v>220</v>
      </c>
      <c r="F8" s="535"/>
      <c r="G8" s="535"/>
      <c r="H8" s="535"/>
      <c r="I8" s="535"/>
      <c r="J8" s="39"/>
      <c r="K8" s="44"/>
    </row>
    <row r="9" spans="2:11" ht="12" customHeight="1">
      <c r="B9" s="43"/>
      <c r="C9" s="39"/>
      <c r="D9" s="326">
        <v>4</v>
      </c>
      <c r="E9" s="534" t="s">
        <v>272</v>
      </c>
      <c r="F9" s="535"/>
      <c r="G9" s="535"/>
      <c r="H9" s="535"/>
      <c r="I9" s="535"/>
      <c r="J9" s="39"/>
      <c r="K9" s="44"/>
    </row>
    <row r="10" spans="2:11" ht="12" customHeight="1">
      <c r="B10" s="43"/>
      <c r="C10" s="39"/>
      <c r="D10" s="326">
        <v>5</v>
      </c>
      <c r="E10" s="534" t="s">
        <v>273</v>
      </c>
      <c r="F10" s="535"/>
      <c r="G10" s="535"/>
      <c r="H10" s="535"/>
      <c r="I10" s="535"/>
      <c r="J10" s="39"/>
      <c r="K10" s="44"/>
    </row>
    <row r="11" spans="2:11" ht="12" customHeight="1">
      <c r="B11" s="43"/>
      <c r="C11" s="39"/>
      <c r="D11" s="326">
        <v>5.1</v>
      </c>
      <c r="E11" s="534" t="s">
        <v>274</v>
      </c>
      <c r="F11" s="535"/>
      <c r="G11" s="535"/>
      <c r="H11" s="535"/>
      <c r="I11" s="535"/>
      <c r="J11" s="39"/>
      <c r="K11" s="44"/>
    </row>
    <row r="12" spans="2:11" ht="12" customHeight="1">
      <c r="B12" s="43"/>
      <c r="C12" s="39"/>
      <c r="D12" s="408">
        <v>5.2</v>
      </c>
      <c r="E12" s="534" t="s">
        <v>277</v>
      </c>
      <c r="F12" s="535"/>
      <c r="G12" s="535"/>
      <c r="H12" s="535"/>
      <c r="I12" s="535"/>
      <c r="J12" s="39"/>
      <c r="K12" s="44"/>
    </row>
    <row r="13" spans="2:11" ht="12" customHeight="1">
      <c r="B13" s="43"/>
      <c r="C13" s="39"/>
      <c r="D13" s="408">
        <v>6</v>
      </c>
      <c r="E13" s="536" t="s">
        <v>283</v>
      </c>
      <c r="F13" s="537"/>
      <c r="G13" s="537"/>
      <c r="H13" s="537"/>
      <c r="I13" s="537"/>
      <c r="J13" s="39"/>
      <c r="K13" s="44"/>
    </row>
    <row r="14" spans="2:11" ht="12" customHeight="1">
      <c r="B14" s="43"/>
      <c r="C14" s="39"/>
      <c r="D14" s="145"/>
      <c r="E14" s="257"/>
      <c r="F14" s="257"/>
      <c r="G14" s="257"/>
      <c r="H14" s="257"/>
      <c r="I14" s="257"/>
      <c r="J14" s="39"/>
      <c r="K14" s="44"/>
    </row>
    <row r="15" spans="2:11" ht="12">
      <c r="B15" s="43"/>
      <c r="C15" s="39"/>
      <c r="D15" s="249" t="s">
        <v>136</v>
      </c>
      <c r="F15" s="247"/>
      <c r="G15" s="247"/>
      <c r="I15" s="248" t="s">
        <v>132</v>
      </c>
      <c r="J15" s="39"/>
      <c r="K15" s="44"/>
    </row>
    <row r="16" spans="2:11" ht="12">
      <c r="B16" s="43"/>
      <c r="C16" s="39"/>
      <c r="D16" s="39"/>
      <c r="E16" s="39"/>
      <c r="F16" s="39"/>
      <c r="G16" s="39"/>
      <c r="H16" s="39"/>
      <c r="I16" s="39"/>
      <c r="J16" s="39"/>
      <c r="K16" s="44"/>
    </row>
    <row r="17" spans="2:11" ht="30" customHeight="1">
      <c r="B17" s="43"/>
      <c r="C17" s="39"/>
      <c r="D17" s="488" t="s">
        <v>137</v>
      </c>
      <c r="E17" s="488"/>
      <c r="F17" s="488"/>
      <c r="G17" s="488"/>
      <c r="H17" s="488"/>
      <c r="I17" s="488"/>
      <c r="J17" s="39"/>
      <c r="K17" s="44"/>
    </row>
    <row r="18" spans="2:11" ht="6" customHeight="1">
      <c r="B18" s="43"/>
      <c r="C18" s="39"/>
      <c r="D18" s="250"/>
      <c r="E18" s="250"/>
      <c r="F18" s="250"/>
      <c r="G18" s="250"/>
      <c r="H18" s="250"/>
      <c r="I18" s="250"/>
      <c r="J18" s="39"/>
      <c r="K18" s="44"/>
    </row>
    <row r="19" spans="2:11" ht="12">
      <c r="B19" s="43"/>
      <c r="C19" s="39"/>
      <c r="D19" s="251" t="s">
        <v>138</v>
      </c>
      <c r="E19" s="251"/>
      <c r="F19" s="251"/>
      <c r="G19" s="252" t="s">
        <v>139</v>
      </c>
      <c r="H19" s="251"/>
      <c r="I19" s="251"/>
      <c r="J19" s="420" t="s">
        <v>197</v>
      </c>
      <c r="K19" s="44"/>
    </row>
    <row r="20" spans="2:11" ht="6" customHeight="1" thickBot="1">
      <c r="B20" s="45"/>
      <c r="C20" s="46"/>
      <c r="D20" s="46"/>
      <c r="E20" s="46"/>
      <c r="F20" s="46"/>
      <c r="G20" s="46"/>
      <c r="H20" s="46"/>
      <c r="I20" s="46"/>
      <c r="J20" s="46"/>
      <c r="K20" s="47"/>
    </row>
    <row r="21" ht="3" customHeight="1" thickTop="1"/>
    <row r="22" ht="12" hidden="1"/>
    <row r="23" ht="12" hidden="1"/>
    <row r="24" ht="12" hidden="1"/>
    <row r="25" ht="12" hidden="1"/>
    <row r="26" ht="12" hidden="1"/>
    <row r="27" ht="12" hidden="1"/>
    <row r="28" ht="12" hidden="1"/>
  </sheetData>
  <sheetProtection password="F39F" sheet="1" objects="1" scenarios="1"/>
  <mergeCells count="12">
    <mergeCell ref="E7:I7"/>
    <mergeCell ref="E8:I8"/>
    <mergeCell ref="D3:I3"/>
    <mergeCell ref="D4:I4"/>
    <mergeCell ref="E5:I5"/>
    <mergeCell ref="E6:I6"/>
    <mergeCell ref="E9:I9"/>
    <mergeCell ref="E10:I10"/>
    <mergeCell ref="E12:I12"/>
    <mergeCell ref="D17:I17"/>
    <mergeCell ref="E11:I11"/>
    <mergeCell ref="E13:I13"/>
  </mergeCells>
  <hyperlinks>
    <hyperlink ref="I15" r:id="rId1" tooltip="Click here to check for updates to this calculator" display="Click here to check for Updates"/>
    <hyperlink ref="D15" r:id="rId2" tooltip="Click here to check for updates to this calculator" display="Click here to check to purchase unlocked version"/>
    <hyperlink ref="G19" r:id="rId3" tooltip="Please click here to send an e-mail" display="rfcafe@earthlink.net"/>
    <hyperlink ref="J19" location="Home!D7" tooltip="Click to return to title page with calculator list" display="Home"/>
  </hyperlinks>
  <printOptions/>
  <pageMargins left="0.5" right="0.5" top="0.5" bottom="0.5" header="0.5" footer="0.5"/>
  <pageSetup fitToHeight="1" fitToWidth="1" horizontalDpi="600" verticalDpi="600" orientation="portrait" r:id="rId4"/>
</worksheet>
</file>

<file path=xl/worksheets/sheet3.xml><?xml version="1.0" encoding="utf-8"?>
<worksheet xmlns="http://schemas.openxmlformats.org/spreadsheetml/2006/main" xmlns:r="http://schemas.openxmlformats.org/officeDocument/2006/relationships">
  <sheetPr codeName="Sheet1">
    <pageSetUpPr fitToPage="1"/>
  </sheetPr>
  <dimension ref="B1:N178"/>
  <sheetViews>
    <sheetView showGridLines="0" showRowColHeaders="0" tabSelected="1" workbookViewId="0" topLeftCell="A1">
      <selection activeCell="D5" sqref="D5"/>
    </sheetView>
  </sheetViews>
  <sheetFormatPr defaultColWidth="9.140625" defaultRowHeight="12" zeroHeight="1"/>
  <cols>
    <col min="1" max="1" width="0.5625" style="148" customWidth="1"/>
    <col min="2" max="2" width="1.1484375" style="149" customWidth="1"/>
    <col min="3" max="5" width="10.7109375" style="135" customWidth="1"/>
    <col min="6" max="6" width="2.7109375" style="149" customWidth="1"/>
    <col min="7" max="13" width="9.140625" style="149" customWidth="1"/>
    <col min="14" max="14" width="1.1484375" style="149" customWidth="1"/>
    <col min="15" max="15" width="0.5625" style="149" customWidth="1"/>
    <col min="16" max="16384" width="0" style="149" hidden="1" customWidth="1"/>
  </cols>
  <sheetData>
    <row r="1" spans="3:5" ht="3" customHeight="1" thickBot="1">
      <c r="C1" s="149"/>
      <c r="D1" s="149"/>
      <c r="E1" s="149"/>
    </row>
    <row r="2" spans="2:14" ht="6" customHeight="1" thickTop="1">
      <c r="B2" s="150"/>
      <c r="C2" s="151"/>
      <c r="D2" s="151"/>
      <c r="E2" s="151"/>
      <c r="F2" s="151"/>
      <c r="G2" s="151"/>
      <c r="H2" s="151"/>
      <c r="I2" s="151"/>
      <c r="J2" s="151"/>
      <c r="K2" s="151"/>
      <c r="L2" s="151"/>
      <c r="M2" s="151"/>
      <c r="N2" s="152"/>
    </row>
    <row r="3" spans="2:14" ht="12.75">
      <c r="B3" s="153"/>
      <c r="C3" s="494" t="s">
        <v>61</v>
      </c>
      <c r="D3" s="494"/>
      <c r="E3" s="494"/>
      <c r="F3" s="155"/>
      <c r="H3" s="147" t="s">
        <v>134</v>
      </c>
      <c r="I3" s="146"/>
      <c r="J3" s="146"/>
      <c r="K3" s="28"/>
      <c r="L3" s="147" t="s">
        <v>132</v>
      </c>
      <c r="M3" s="69"/>
      <c r="N3" s="154"/>
    </row>
    <row r="4" spans="2:14" ht="12">
      <c r="B4" s="153"/>
      <c r="C4" s="495"/>
      <c r="D4" s="495"/>
      <c r="E4" s="141"/>
      <c r="F4" s="155"/>
      <c r="G4" s="155"/>
      <c r="H4" s="147" t="s">
        <v>135</v>
      </c>
      <c r="I4" s="155"/>
      <c r="J4" s="155"/>
      <c r="K4" s="155"/>
      <c r="L4" s="155"/>
      <c r="M4" s="155"/>
      <c r="N4" s="154"/>
    </row>
    <row r="5" spans="2:14" ht="12">
      <c r="B5" s="153"/>
      <c r="C5" s="89" t="s">
        <v>3</v>
      </c>
      <c r="D5" s="48">
        <v>5</v>
      </c>
      <c r="E5" s="141"/>
      <c r="F5" s="155"/>
      <c r="G5" s="155"/>
      <c r="H5" s="155"/>
      <c r="I5" s="155"/>
      <c r="J5" s="155"/>
      <c r="K5" s="155"/>
      <c r="L5" s="155"/>
      <c r="M5" s="155"/>
      <c r="N5" s="154"/>
    </row>
    <row r="6" spans="2:14" ht="12">
      <c r="B6" s="153"/>
      <c r="C6" s="89" t="s">
        <v>48</v>
      </c>
      <c r="D6" s="48">
        <v>708</v>
      </c>
      <c r="E6" s="161" t="s">
        <v>37</v>
      </c>
      <c r="F6" s="155"/>
      <c r="G6" s="155"/>
      <c r="H6" s="155"/>
      <c r="I6" s="155"/>
      <c r="J6" s="155"/>
      <c r="K6" s="155"/>
      <c r="L6" s="155"/>
      <c r="M6" s="155"/>
      <c r="N6" s="154"/>
    </row>
    <row r="7" spans="2:14" ht="12">
      <c r="B7" s="153"/>
      <c r="C7" s="93" t="s">
        <v>49</v>
      </c>
      <c r="D7" s="48">
        <v>700</v>
      </c>
      <c r="E7" s="141" t="str">
        <f>E6</f>
        <v>MHz</v>
      </c>
      <c r="F7" s="155"/>
      <c r="G7" s="155"/>
      <c r="H7" s="155"/>
      <c r="I7" s="155"/>
      <c r="J7" s="155"/>
      <c r="K7" s="155"/>
      <c r="L7" s="155"/>
      <c r="M7" s="155"/>
      <c r="N7" s="154"/>
    </row>
    <row r="8" spans="2:14" ht="12">
      <c r="B8" s="153"/>
      <c r="C8" s="89" t="s">
        <v>58</v>
      </c>
      <c r="D8" s="48">
        <v>0.01</v>
      </c>
      <c r="E8" s="141" t="s">
        <v>133</v>
      </c>
      <c r="F8" s="155"/>
      <c r="G8" s="155"/>
      <c r="H8" s="155"/>
      <c r="I8" s="155"/>
      <c r="J8" s="155"/>
      <c r="K8" s="155"/>
      <c r="L8" s="155"/>
      <c r="M8" s="155"/>
      <c r="N8" s="154"/>
    </row>
    <row r="9" spans="2:14" ht="12.75" thickBot="1">
      <c r="B9" s="153"/>
      <c r="C9" s="497" t="s">
        <v>4</v>
      </c>
      <c r="D9" s="497"/>
      <c r="E9" s="497"/>
      <c r="F9" s="155"/>
      <c r="G9" s="155"/>
      <c r="H9" s="155"/>
      <c r="I9" s="155"/>
      <c r="J9" s="155"/>
      <c r="K9" s="155"/>
      <c r="L9" s="155"/>
      <c r="M9" s="155"/>
      <c r="N9" s="154"/>
    </row>
    <row r="10" spans="2:14" ht="12">
      <c r="B10" s="153"/>
      <c r="C10" s="89" t="s">
        <v>51</v>
      </c>
      <c r="D10" s="98">
        <v>730</v>
      </c>
      <c r="E10" s="141" t="str">
        <f>E7</f>
        <v>MHz</v>
      </c>
      <c r="F10" s="155"/>
      <c r="G10" s="155"/>
      <c r="H10" s="155"/>
      <c r="I10" s="155"/>
      <c r="J10" s="155"/>
      <c r="K10" s="155"/>
      <c r="L10" s="155"/>
      <c r="M10" s="155"/>
      <c r="N10" s="154"/>
    </row>
    <row r="11" spans="2:14" ht="12">
      <c r="B11" s="153"/>
      <c r="C11" s="89" t="s">
        <v>50</v>
      </c>
      <c r="D11" s="48">
        <v>670</v>
      </c>
      <c r="E11" s="141" t="str">
        <f>E6</f>
        <v>MHz</v>
      </c>
      <c r="F11" s="155"/>
      <c r="G11" s="155"/>
      <c r="H11" s="155"/>
      <c r="I11" s="155"/>
      <c r="J11" s="155"/>
      <c r="K11" s="155"/>
      <c r="L11" s="155"/>
      <c r="M11" s="155"/>
      <c r="N11" s="154"/>
    </row>
    <row r="12" spans="2:14" ht="12.75" thickBot="1">
      <c r="B12" s="153"/>
      <c r="C12" s="90" t="s">
        <v>52</v>
      </c>
      <c r="D12" s="49">
        <f>(D10-D11)/100</f>
        <v>0.6</v>
      </c>
      <c r="E12" s="156" t="str">
        <f>E6</f>
        <v>MHz</v>
      </c>
      <c r="F12" s="155"/>
      <c r="G12" s="155"/>
      <c r="H12" s="155"/>
      <c r="I12" s="155"/>
      <c r="J12" s="155"/>
      <c r="K12" s="155"/>
      <c r="L12" s="155"/>
      <c r="M12" s="155"/>
      <c r="N12" s="154"/>
    </row>
    <row r="13" spans="2:14" ht="12.75" thickTop="1">
      <c r="B13" s="153"/>
      <c r="C13" s="72"/>
      <c r="D13" s="496" t="s">
        <v>7</v>
      </c>
      <c r="E13" s="496"/>
      <c r="F13" s="155"/>
      <c r="G13" s="155"/>
      <c r="H13" s="155"/>
      <c r="I13" s="155"/>
      <c r="J13" s="155"/>
      <c r="K13" s="155"/>
      <c r="L13" s="155"/>
      <c r="M13" s="155"/>
      <c r="N13" s="154"/>
    </row>
    <row r="14" spans="2:14" ht="12.75" thickBot="1">
      <c r="B14" s="153"/>
      <c r="C14" s="50" t="str">
        <f>"Freq ("&amp;E6&amp;")"</f>
        <v>Freq (MHz)</v>
      </c>
      <c r="D14" s="50" t="s">
        <v>59</v>
      </c>
      <c r="E14" s="50" t="s">
        <v>60</v>
      </c>
      <c r="F14" s="155"/>
      <c r="G14" s="155"/>
      <c r="H14" s="155"/>
      <c r="I14" s="155"/>
      <c r="J14" s="155"/>
      <c r="K14" s="155"/>
      <c r="L14" s="155"/>
      <c r="M14" s="155"/>
      <c r="N14" s="154"/>
    </row>
    <row r="15" spans="2:14" ht="12">
      <c r="B15" s="153"/>
      <c r="C15" s="54">
        <f>D11</f>
        <v>670</v>
      </c>
      <c r="D15" s="55">
        <f aca="true" t="shared" si="0" ref="D15:D46">-10*LOG(1+(ABS((C15/$D$123)-($D$123/C15))/$E$123)^(2*$D$5))</f>
        <v>-94.01520908905712</v>
      </c>
      <c r="E15" s="55">
        <f aca="true" t="shared" si="1" ref="E15:E46">IF(C15/$D$7&lt;1,-10*LOG(1+$D$122*(COSH($D$5*ACOSH((ABS((C15/$D$123)-($D$123/C15))/$E$123))))^2),IF(C15/$D$6&lt;1,-10*LOG(1+$D$122*(COS($D$5*ACOS((ABS((C15/$D$123)-($D$123/C15))/$E$123))))^2),-10*LOG(1+$D$122*(COSH($D$5*ACOSH((ABS((C15/$D$123)-($D$123/C15))/$E$123)))^2))))</f>
        <v>-91.58102712225039</v>
      </c>
      <c r="F15" s="155"/>
      <c r="G15" s="155"/>
      <c r="H15" s="155"/>
      <c r="I15" s="155"/>
      <c r="J15" s="155"/>
      <c r="K15" s="155"/>
      <c r="L15" s="155"/>
      <c r="M15" s="155"/>
      <c r="N15" s="154"/>
    </row>
    <row r="16" spans="2:14" ht="12">
      <c r="B16" s="153"/>
      <c r="C16" s="54">
        <f aca="true" t="shared" si="2" ref="C16:C47">C15+$D$12</f>
        <v>670.6</v>
      </c>
      <c r="D16" s="55">
        <f t="shared" si="0"/>
        <v>-93.22178942688664</v>
      </c>
      <c r="E16" s="55">
        <f t="shared" si="1"/>
        <v>-90.782230647444</v>
      </c>
      <c r="F16" s="155"/>
      <c r="G16" s="155"/>
      <c r="H16" s="155"/>
      <c r="I16" s="155"/>
      <c r="J16" s="155"/>
      <c r="K16" s="155"/>
      <c r="L16" s="155"/>
      <c r="M16" s="155"/>
      <c r="N16" s="154"/>
    </row>
    <row r="17" spans="2:14" ht="12">
      <c r="B17" s="153"/>
      <c r="C17" s="54">
        <f t="shared" si="2"/>
        <v>671.2</v>
      </c>
      <c r="D17" s="55">
        <f t="shared" si="0"/>
        <v>-92.41436942514173</v>
      </c>
      <c r="E17" s="55">
        <f t="shared" si="1"/>
        <v>-89.96913131804442</v>
      </c>
      <c r="F17" s="155"/>
      <c r="G17" s="155"/>
      <c r="H17" s="155"/>
      <c r="I17" s="155"/>
      <c r="J17" s="155"/>
      <c r="K17" s="155"/>
      <c r="L17" s="155"/>
      <c r="M17" s="155"/>
      <c r="N17" s="154"/>
    </row>
    <row r="18" spans="2:14" ht="12">
      <c r="B18" s="153"/>
      <c r="C18" s="54">
        <f t="shared" si="2"/>
        <v>671.8000000000001</v>
      </c>
      <c r="D18" s="55">
        <f t="shared" si="0"/>
        <v>-91.5924308906084</v>
      </c>
      <c r="E18" s="55">
        <f t="shared" si="1"/>
        <v>-89.14118786754224</v>
      </c>
      <c r="F18" s="155"/>
      <c r="G18" s="155"/>
      <c r="H18" s="155"/>
      <c r="I18" s="155"/>
      <c r="J18" s="155"/>
      <c r="K18" s="155"/>
      <c r="L18" s="155"/>
      <c r="M18" s="155"/>
      <c r="N18" s="154"/>
    </row>
    <row r="19" spans="2:14" ht="12">
      <c r="B19" s="153"/>
      <c r="C19" s="54">
        <f t="shared" si="2"/>
        <v>672.4000000000001</v>
      </c>
      <c r="D19" s="55">
        <f t="shared" si="0"/>
        <v>-90.7554263798123</v>
      </c>
      <c r="E19" s="55">
        <f t="shared" si="1"/>
        <v>-88.29782753589899</v>
      </c>
      <c r="F19" s="155"/>
      <c r="G19" s="155"/>
      <c r="H19" s="155"/>
      <c r="I19" s="155"/>
      <c r="J19" s="155"/>
      <c r="K19" s="155"/>
      <c r="L19" s="155"/>
      <c r="M19" s="155"/>
      <c r="N19" s="154"/>
    </row>
    <row r="20" spans="2:14" ht="12">
      <c r="B20" s="153"/>
      <c r="C20" s="54">
        <f t="shared" si="2"/>
        <v>673.0000000000001</v>
      </c>
      <c r="D20" s="55">
        <f t="shared" si="0"/>
        <v>-89.90277695503059</v>
      </c>
      <c r="E20" s="55">
        <f t="shared" si="1"/>
        <v>-87.4384435583139</v>
      </c>
      <c r="F20" s="155"/>
      <c r="G20" s="155"/>
      <c r="H20" s="155"/>
      <c r="I20" s="155"/>
      <c r="J20" s="155"/>
      <c r="K20" s="155"/>
      <c r="L20" s="155"/>
      <c r="M20" s="155"/>
      <c r="N20" s="154"/>
    </row>
    <row r="21" spans="2:14" ht="12">
      <c r="B21" s="153"/>
      <c r="C21" s="54">
        <f t="shared" si="2"/>
        <v>673.6000000000001</v>
      </c>
      <c r="D21" s="55">
        <f t="shared" si="0"/>
        <v>-89.0338697208994</v>
      </c>
      <c r="E21" s="55">
        <f t="shared" si="1"/>
        <v>-86.56239239662506</v>
      </c>
      <c r="F21" s="155"/>
      <c r="G21" s="155"/>
      <c r="H21" s="155"/>
      <c r="I21" s="155"/>
      <c r="J21" s="155"/>
      <c r="K21" s="155"/>
      <c r="L21" s="155"/>
      <c r="M21" s="155"/>
      <c r="N21" s="154"/>
    </row>
    <row r="22" spans="2:14" ht="12">
      <c r="B22" s="153"/>
      <c r="C22" s="54">
        <f t="shared" si="2"/>
        <v>674.2000000000002</v>
      </c>
      <c r="D22" s="55">
        <f t="shared" si="0"/>
        <v>-88.148055115363</v>
      </c>
      <c r="E22" s="55">
        <f t="shared" si="1"/>
        <v>-85.66899068078818</v>
      </c>
      <c r="F22" s="155"/>
      <c r="G22" s="155"/>
      <c r="H22" s="155"/>
      <c r="I22" s="155"/>
      <c r="J22" s="155"/>
      <c r="K22" s="155"/>
      <c r="L22" s="155"/>
      <c r="M22" s="155"/>
      <c r="N22" s="154"/>
    </row>
    <row r="23" spans="2:14" ht="12">
      <c r="B23" s="153"/>
      <c r="C23" s="54">
        <f t="shared" si="2"/>
        <v>674.8000000000002</v>
      </c>
      <c r="D23" s="55">
        <f t="shared" si="0"/>
        <v>-87.24464392496569</v>
      </c>
      <c r="E23" s="55">
        <f t="shared" si="1"/>
        <v>-84.75751182292649</v>
      </c>
      <c r="F23" s="155"/>
      <c r="G23" s="155"/>
      <c r="H23" s="155"/>
      <c r="I23" s="155"/>
      <c r="J23" s="155"/>
      <c r="K23" s="155"/>
      <c r="L23" s="155"/>
      <c r="M23" s="155"/>
      <c r="N23" s="154"/>
    </row>
    <row r="24" spans="2:14" ht="12">
      <c r="B24" s="153"/>
      <c r="C24" s="54">
        <f t="shared" si="2"/>
        <v>675.4000000000002</v>
      </c>
      <c r="D24" s="55">
        <f t="shared" si="0"/>
        <v>-86.32290399012777</v>
      </c>
      <c r="E24" s="55">
        <f t="shared" si="1"/>
        <v>-83.8271822606187</v>
      </c>
      <c r="F24" s="155"/>
      <c r="G24" s="155"/>
      <c r="H24" s="155"/>
      <c r="I24" s="155"/>
      <c r="J24" s="155"/>
      <c r="K24" s="155"/>
      <c r="L24" s="155"/>
      <c r="M24" s="420" t="s">
        <v>197</v>
      </c>
      <c r="N24" s="154"/>
    </row>
    <row r="25" spans="2:14" ht="12">
      <c r="B25" s="153"/>
      <c r="C25" s="54">
        <f t="shared" si="2"/>
        <v>676.0000000000002</v>
      </c>
      <c r="D25" s="55">
        <f t="shared" si="0"/>
        <v>-85.3820565609443</v>
      </c>
      <c r="E25" s="55">
        <f t="shared" si="1"/>
        <v>-82.87717727919572</v>
      </c>
      <c r="F25" s="155"/>
      <c r="G25" s="155"/>
      <c r="H25" s="155"/>
      <c r="I25" s="155"/>
      <c r="J25" s="155"/>
      <c r="K25" s="155"/>
      <c r="L25" s="155"/>
      <c r="M25" s="155"/>
      <c r="N25" s="154"/>
    </row>
    <row r="26" spans="2:14" ht="12">
      <c r="B26" s="153"/>
      <c r="C26" s="54">
        <f t="shared" si="2"/>
        <v>676.6000000000003</v>
      </c>
      <c r="D26" s="55">
        <f t="shared" si="0"/>
        <v>-84.42127225805672</v>
      </c>
      <c r="E26" s="55">
        <f t="shared" si="1"/>
        <v>-81.90661635462726</v>
      </c>
      <c r="F26" s="155"/>
      <c r="G26" s="155"/>
      <c r="I26" s="155"/>
      <c r="J26" s="155"/>
      <c r="K26" s="155"/>
      <c r="L26" s="155"/>
      <c r="M26" s="155"/>
      <c r="N26" s="154"/>
    </row>
    <row r="27" spans="2:14" ht="12">
      <c r="B27" s="153"/>
      <c r="C27" s="54">
        <f t="shared" si="2"/>
        <v>677.2000000000003</v>
      </c>
      <c r="D27" s="55">
        <f t="shared" si="0"/>
        <v>-83.4396665860987</v>
      </c>
      <c r="E27" s="55">
        <f t="shared" si="1"/>
        <v>-80.91455794881553</v>
      </c>
      <c r="F27" s="155"/>
      <c r="G27" s="155"/>
      <c r="H27" s="155"/>
      <c r="I27" s="155"/>
      <c r="J27" s="155"/>
      <c r="K27" s="155"/>
      <c r="L27" s="155"/>
      <c r="M27" s="155"/>
      <c r="N27" s="154"/>
    </row>
    <row r="28" spans="2:14" ht="12">
      <c r="B28" s="153"/>
      <c r="C28" s="54">
        <f t="shared" si="2"/>
        <v>677.8000000000003</v>
      </c>
      <c r="D28" s="55">
        <f t="shared" si="0"/>
        <v>-82.4362949388935</v>
      </c>
      <c r="E28" s="55">
        <f t="shared" si="1"/>
        <v>-79.89999367742705</v>
      </c>
      <c r="F28" s="155"/>
      <c r="G28" s="155"/>
      <c r="H28" s="155"/>
      <c r="I28" s="155"/>
      <c r="J28" s="155"/>
      <c r="K28" s="155"/>
      <c r="L28" s="155"/>
      <c r="M28" s="155"/>
      <c r="N28" s="154"/>
    </row>
    <row r="29" spans="2:14" ht="12">
      <c r="B29" s="153"/>
      <c r="C29" s="54">
        <f t="shared" si="2"/>
        <v>678.4000000000003</v>
      </c>
      <c r="D29" s="55">
        <f t="shared" si="0"/>
        <v>-81.41014702570529</v>
      </c>
      <c r="E29" s="55">
        <f t="shared" si="1"/>
        <v>-78.86184175633272</v>
      </c>
      <c r="F29" s="155"/>
      <c r="G29" s="155"/>
      <c r="H29" s="155"/>
      <c r="I29" s="155"/>
      <c r="J29" s="155"/>
      <c r="K29" s="155"/>
      <c r="L29" s="155"/>
      <c r="M29" s="155"/>
      <c r="N29" s="154"/>
    </row>
    <row r="30" spans="2:14" ht="12">
      <c r="B30" s="153"/>
      <c r="C30" s="54">
        <f t="shared" si="2"/>
        <v>679.0000000000003</v>
      </c>
      <c r="D30" s="55">
        <f t="shared" si="0"/>
        <v>-80.360140636107</v>
      </c>
      <c r="E30" s="55">
        <f t="shared" si="1"/>
        <v>-77.798939615749</v>
      </c>
      <c r="F30" s="155"/>
      <c r="G30" s="155"/>
      <c r="H30" s="155"/>
      <c r="I30" s="155"/>
      <c r="J30" s="155"/>
      <c r="K30" s="155"/>
      <c r="L30" s="155"/>
      <c r="M30" s="155"/>
      <c r="N30" s="154"/>
    </row>
    <row r="31" spans="2:14" ht="12">
      <c r="B31" s="153"/>
      <c r="C31" s="54">
        <f t="shared" si="2"/>
        <v>679.6000000000004</v>
      </c>
      <c r="D31" s="55">
        <f t="shared" si="0"/>
        <v>-79.2851146469943</v>
      </c>
      <c r="E31" s="55">
        <f t="shared" si="1"/>
        <v>-76.71003555055505</v>
      </c>
      <c r="F31" s="155"/>
      <c r="G31" s="155"/>
      <c r="H31" s="155"/>
      <c r="I31" s="155"/>
      <c r="J31" s="155"/>
      <c r="K31" s="155"/>
      <c r="L31" s="155"/>
      <c r="M31" s="155"/>
      <c r="N31" s="154"/>
    </row>
    <row r="32" spans="2:14" ht="12">
      <c r="B32" s="153"/>
      <c r="C32" s="54">
        <f t="shared" si="2"/>
        <v>680.2000000000004</v>
      </c>
      <c r="D32" s="55">
        <f t="shared" si="0"/>
        <v>-78.18382115845371</v>
      </c>
      <c r="E32" s="55">
        <f t="shared" si="1"/>
        <v>-75.59377925010685</v>
      </c>
      <c r="F32" s="155"/>
      <c r="G32" s="155"/>
      <c r="H32" s="155"/>
      <c r="I32" s="155"/>
      <c r="J32" s="155"/>
      <c r="K32" s="155"/>
      <c r="L32" s="155"/>
      <c r="M32" s="155"/>
      <c r="N32" s="154"/>
    </row>
    <row r="33" spans="2:14" ht="12">
      <c r="B33" s="153"/>
      <c r="C33" s="54">
        <f t="shared" si="2"/>
        <v>680.8000000000004</v>
      </c>
      <c r="D33" s="55">
        <f t="shared" si="0"/>
        <v>-77.05491662492604</v>
      </c>
      <c r="E33" s="55">
        <f t="shared" si="1"/>
        <v>-74.44871102000727</v>
      </c>
      <c r="F33" s="155"/>
      <c r="G33" s="155"/>
      <c r="H33" s="155"/>
      <c r="I33" s="155"/>
      <c r="J33" s="155"/>
      <c r="K33" s="155"/>
      <c r="L33" s="155"/>
      <c r="M33" s="155"/>
      <c r="N33" s="154"/>
    </row>
    <row r="34" spans="2:14" ht="12">
      <c r="B34" s="153"/>
      <c r="C34" s="54">
        <f t="shared" si="2"/>
        <v>681.4000000000004</v>
      </c>
      <c r="D34" s="55">
        <f t="shared" si="0"/>
        <v>-75.8969518235945</v>
      </c>
      <c r="E34" s="55">
        <f t="shared" si="1"/>
        <v>-73.27324947021155</v>
      </c>
      <c r="F34" s="155"/>
      <c r="G34" s="155"/>
      <c r="H34" s="155"/>
      <c r="I34" s="155"/>
      <c r="J34" s="155"/>
      <c r="K34" s="155"/>
      <c r="L34" s="155"/>
      <c r="M34" s="155"/>
      <c r="N34" s="154"/>
    </row>
    <row r="35" spans="2:14" ht="12">
      <c r="B35" s="153"/>
      <c r="C35" s="54">
        <f t="shared" si="2"/>
        <v>682.0000000000005</v>
      </c>
      <c r="D35" s="55">
        <f t="shared" si="0"/>
        <v>-74.70836047212934</v>
      </c>
      <c r="E35" s="55">
        <f t="shared" si="1"/>
        <v>-72.06567739657537</v>
      </c>
      <c r="F35" s="155"/>
      <c r="G35" s="155"/>
      <c r="H35" s="155"/>
      <c r="I35" s="155"/>
      <c r="J35" s="155"/>
      <c r="K35" s="155"/>
      <c r="L35" s="155"/>
      <c r="M35" s="155"/>
      <c r="N35" s="154"/>
    </row>
    <row r="36" spans="2:14" ht="12">
      <c r="B36" s="153"/>
      <c r="C36" s="54">
        <f t="shared" si="2"/>
        <v>682.6000000000005</v>
      </c>
      <c r="D36" s="55">
        <f t="shared" si="0"/>
        <v>-73.4874462715344</v>
      </c>
      <c r="E36" s="55">
        <f t="shared" si="1"/>
        <v>-70.82412552389206</v>
      </c>
      <c r="F36" s="155"/>
      <c r="G36" s="155"/>
      <c r="H36" s="155"/>
      <c r="I36" s="155"/>
      <c r="J36" s="155"/>
      <c r="K36" s="155"/>
      <c r="L36" s="155"/>
      <c r="M36" s="155"/>
      <c r="N36" s="154"/>
    </row>
    <row r="37" spans="2:14" ht="12">
      <c r="B37" s="153"/>
      <c r="C37" s="54">
        <f t="shared" si="2"/>
        <v>683.2000000000005</v>
      </c>
      <c r="D37" s="55">
        <f t="shared" si="0"/>
        <v>-72.2323681051662</v>
      </c>
      <c r="E37" s="55">
        <f t="shared" si="1"/>
        <v>-69.54655370416752</v>
      </c>
      <c r="F37" s="155"/>
      <c r="G37" s="155"/>
      <c r="H37" s="155"/>
      <c r="I37" s="155"/>
      <c r="J37" s="155"/>
      <c r="K37" s="155"/>
      <c r="L37" s="155"/>
      <c r="M37" s="155"/>
      <c r="N37" s="154"/>
    </row>
    <row r="38" spans="2:14" ht="12">
      <c r="B38" s="153"/>
      <c r="C38" s="54">
        <f t="shared" si="2"/>
        <v>683.8000000000005</v>
      </c>
      <c r="D38" s="55">
        <f t="shared" si="0"/>
        <v>-70.94112306986297</v>
      </c>
      <c r="E38" s="55">
        <f t="shared" si="1"/>
        <v>-68.23072906973711</v>
      </c>
      <c r="F38" s="155"/>
      <c r="G38" s="155"/>
      <c r="H38" s="155"/>
      <c r="I38" s="155"/>
      <c r="J38" s="155"/>
      <c r="K38" s="155"/>
      <c r="L38" s="155"/>
      <c r="M38" s="155"/>
      <c r="N38" s="154"/>
    </row>
    <row r="39" spans="2:14" ht="12">
      <c r="B39" s="153"/>
      <c r="C39" s="54">
        <f t="shared" si="2"/>
        <v>684.4000000000005</v>
      </c>
      <c r="D39" s="55">
        <f t="shared" si="0"/>
        <v>-69.61152694667861</v>
      </c>
      <c r="E39" s="55">
        <f t="shared" si="1"/>
        <v>-66.87420052060327</v>
      </c>
      <c r="F39" s="155"/>
      <c r="G39" s="155"/>
      <c r="H39" s="155"/>
      <c r="I39" s="155"/>
      <c r="J39" s="155"/>
      <c r="K39" s="155"/>
      <c r="L39" s="155"/>
      <c r="M39" s="155"/>
      <c r="N39" s="154"/>
    </row>
    <row r="40" spans="2:14" ht="12">
      <c r="B40" s="153"/>
      <c r="C40" s="54">
        <f t="shared" si="2"/>
        <v>685.0000000000006</v>
      </c>
      <c r="D40" s="55">
        <f t="shared" si="0"/>
        <v>-68.24119163326289</v>
      </c>
      <c r="E40" s="55">
        <f t="shared" si="1"/>
        <v>-65.47426877057342</v>
      </c>
      <c r="F40" s="155"/>
      <c r="G40" s="155"/>
      <c r="H40" s="155"/>
      <c r="I40" s="155"/>
      <c r="J40" s="155"/>
      <c r="K40" s="155"/>
      <c r="L40" s="155"/>
      <c r="M40" s="155"/>
      <c r="N40" s="154"/>
    </row>
    <row r="41" spans="2:14" ht="12">
      <c r="B41" s="153"/>
      <c r="C41" s="54">
        <f t="shared" si="2"/>
        <v>685.6000000000006</v>
      </c>
      <c r="D41" s="55">
        <f t="shared" si="0"/>
        <v>-66.82749895253544</v>
      </c>
      <c r="E41" s="55">
        <f t="shared" si="1"/>
        <v>-64.02795097567153</v>
      </c>
      <c r="F41" s="155"/>
      <c r="G41" s="155"/>
      <c r="H41" s="155"/>
      <c r="I41" s="155"/>
      <c r="J41" s="155"/>
      <c r="K41" s="155"/>
      <c r="L41" s="155"/>
      <c r="M41" s="155"/>
      <c r="N41" s="154"/>
    </row>
    <row r="42" spans="2:14" ht="12">
      <c r="B42" s="153"/>
      <c r="C42" s="54">
        <f t="shared" si="2"/>
        <v>686.2000000000006</v>
      </c>
      <c r="D42" s="55">
        <f t="shared" si="0"/>
        <v>-65.36757011646563</v>
      </c>
      <c r="E42" s="55">
        <f t="shared" si="1"/>
        <v>-62.531938704559586</v>
      </c>
      <c r="F42" s="155"/>
      <c r="G42" s="155"/>
      <c r="H42" s="155"/>
      <c r="I42" s="155"/>
      <c r="J42" s="155"/>
      <c r="K42" s="155"/>
      <c r="L42" s="155"/>
      <c r="M42" s="155"/>
      <c r="N42" s="154"/>
    </row>
    <row r="43" spans="2:14" ht="12">
      <c r="B43" s="153"/>
      <c r="C43" s="54">
        <f t="shared" si="2"/>
        <v>686.8000000000006</v>
      </c>
      <c r="D43" s="55">
        <f t="shared" si="0"/>
        <v>-63.85822995073163</v>
      </c>
      <c r="E43" s="55">
        <f t="shared" si="1"/>
        <v>-60.982547661270814</v>
      </c>
      <c r="F43" s="155"/>
      <c r="G43" s="155"/>
      <c r="H43" s="155"/>
      <c r="I43" s="155"/>
      <c r="J43" s="155"/>
      <c r="K43" s="155"/>
      <c r="L43" s="155"/>
      <c r="M43" s="155"/>
      <c r="N43" s="154"/>
    </row>
    <row r="44" spans="2:14" ht="12">
      <c r="B44" s="153"/>
      <c r="C44" s="54">
        <f t="shared" si="2"/>
        <v>687.4000000000007</v>
      </c>
      <c r="D44" s="55">
        <f t="shared" si="0"/>
        <v>-62.295964763978645</v>
      </c>
      <c r="E44" s="55">
        <f t="shared" si="1"/>
        <v>-59.37565710247643</v>
      </c>
      <c r="F44" s="155"/>
      <c r="G44" s="155"/>
      <c r="H44" s="155"/>
      <c r="I44" s="155"/>
      <c r="J44" s="155"/>
      <c r="K44" s="155"/>
      <c r="L44" s="155"/>
      <c r="M44" s="155"/>
      <c r="N44" s="154"/>
    </row>
    <row r="45" spans="2:14" ht="12">
      <c r="B45" s="153"/>
      <c r="C45" s="54">
        <f t="shared" si="2"/>
        <v>688.0000000000007</v>
      </c>
      <c r="D45" s="55">
        <f t="shared" si="0"/>
        <v>-60.67687245823424</v>
      </c>
      <c r="E45" s="55">
        <f t="shared" si="1"/>
        <v>-57.70663625705856</v>
      </c>
      <c r="F45" s="155"/>
      <c r="G45" s="155"/>
      <c r="H45" s="155"/>
      <c r="I45" s="155"/>
      <c r="J45" s="155"/>
      <c r="K45" s="155"/>
      <c r="L45" s="155"/>
      <c r="M45" s="155"/>
      <c r="N45" s="154"/>
    </row>
    <row r="46" spans="2:14" ht="12">
      <c r="B46" s="153"/>
      <c r="C46" s="54">
        <f t="shared" si="2"/>
        <v>688.6000000000007</v>
      </c>
      <c r="D46" s="55">
        <f t="shared" si="0"/>
        <v>-58.996603102669596</v>
      </c>
      <c r="E46" s="55">
        <f t="shared" si="1"/>
        <v>-55.970254184820654</v>
      </c>
      <c r="F46" s="155"/>
      <c r="G46" s="155"/>
      <c r="H46" s="155"/>
      <c r="I46" s="155"/>
      <c r="J46" s="155"/>
      <c r="K46" s="155"/>
      <c r="L46" s="155"/>
      <c r="M46" s="155"/>
      <c r="N46" s="154"/>
    </row>
    <row r="47" spans="2:14" ht="12">
      <c r="B47" s="153"/>
      <c r="C47" s="54">
        <f t="shared" si="2"/>
        <v>689.2000000000007</v>
      </c>
      <c r="D47" s="55">
        <f aca="true" t="shared" si="3" ref="D47:D78">-10*LOG(1+(ABS((C47/$D$123)-($D$123/C47))/$E$123)^(2*$D$5))</f>
        <v>-57.250287700689</v>
      </c>
      <c r="E47" s="55">
        <f aca="true" t="shared" si="4" ref="E47:E78">IF(C47/$D$7&lt;1,-10*LOG(1+$D$122*(COSH($D$5*ACOSH((ABS((C47/$D$123)-($D$123/C47))/$E$123))))^2),IF(C47/$D$6&lt;1,-10*LOG(1+$D$122*(COS($D$5*ACOS((ABS((C47/$D$123)-($D$123/C47))/$E$123))))^2),-10*LOG(1+$D$122*(COSH($D$5*ACOSH((ABS((C47/$D$123)-($D$123/C47))/$E$123)))^2))))</f>
        <v>-54.16056829907969</v>
      </c>
      <c r="F47" s="155"/>
      <c r="G47" s="155"/>
      <c r="H47" s="155"/>
      <c r="I47" s="155"/>
      <c r="J47" s="155"/>
      <c r="K47" s="155"/>
      <c r="L47" s="155"/>
      <c r="M47" s="155"/>
      <c r="N47" s="154"/>
    </row>
    <row r="48" spans="2:14" ht="12">
      <c r="B48" s="153"/>
      <c r="C48" s="54">
        <f aca="true" t="shared" si="5" ref="C48:C79">C47+$D$12</f>
        <v>689.8000000000008</v>
      </c>
      <c r="D48" s="55">
        <f t="shared" si="3"/>
        <v>-55.432452227677665</v>
      </c>
      <c r="E48" s="55">
        <f t="shared" si="4"/>
        <v>-52.27078506613661</v>
      </c>
      <c r="F48" s="155"/>
      <c r="G48" s="155"/>
      <c r="H48" s="155"/>
      <c r="I48" s="155"/>
      <c r="J48" s="155"/>
      <c r="K48" s="155"/>
      <c r="L48" s="155"/>
      <c r="M48" s="155"/>
      <c r="N48" s="154"/>
    </row>
    <row r="49" spans="2:14" ht="12">
      <c r="B49" s="153"/>
      <c r="C49" s="54">
        <f t="shared" si="5"/>
        <v>690.4000000000008</v>
      </c>
      <c r="D49" s="55">
        <f t="shared" si="3"/>
        <v>-53.53691314387133</v>
      </c>
      <c r="E49" s="55">
        <f t="shared" si="4"/>
        <v>-50.29308393900536</v>
      </c>
      <c r="F49" s="155"/>
      <c r="G49" s="155"/>
      <c r="H49" s="155"/>
      <c r="I49" s="155"/>
      <c r="J49" s="155"/>
      <c r="K49" s="155"/>
      <c r="L49" s="155"/>
      <c r="M49" s="155"/>
      <c r="N49" s="154"/>
    </row>
    <row r="50" spans="2:14" ht="12">
      <c r="B50" s="153"/>
      <c r="C50" s="54">
        <f t="shared" si="5"/>
        <v>691.0000000000008</v>
      </c>
      <c r="D50" s="55">
        <f t="shared" si="3"/>
        <v>-51.55664941001835</v>
      </c>
      <c r="E50" s="55">
        <f t="shared" si="4"/>
        <v>-48.21839200131283</v>
      </c>
      <c r="F50" s="155"/>
      <c r="G50" s="155"/>
      <c r="H50" s="155"/>
      <c r="I50" s="155"/>
      <c r="J50" s="155"/>
      <c r="K50" s="155"/>
      <c r="L50" s="155"/>
      <c r="M50" s="155"/>
      <c r="N50" s="154"/>
    </row>
    <row r="51" spans="2:14" ht="12">
      <c r="B51" s="153"/>
      <c r="C51" s="54">
        <f t="shared" si="5"/>
        <v>691.6000000000008</v>
      </c>
      <c r="D51" s="55">
        <f t="shared" si="3"/>
        <v>-49.4836444361991</v>
      </c>
      <c r="E51" s="55">
        <f t="shared" si="4"/>
        <v>-46.036091483748464</v>
      </c>
      <c r="F51" s="155"/>
      <c r="G51" s="155"/>
      <c r="H51" s="155"/>
      <c r="I51" s="155"/>
      <c r="J51" s="155"/>
      <c r="K51" s="155"/>
      <c r="L51" s="155"/>
      <c r="M51" s="155"/>
      <c r="N51" s="154"/>
    </row>
    <row r="52" spans="2:14" ht="12">
      <c r="B52" s="153"/>
      <c r="C52" s="54">
        <f t="shared" si="5"/>
        <v>692.2000000000008</v>
      </c>
      <c r="D52" s="55">
        <f t="shared" si="3"/>
        <v>-47.30868921795073</v>
      </c>
      <c r="E52" s="55">
        <f t="shared" si="4"/>
        <v>-43.73363429817069</v>
      </c>
      <c r="F52" s="155"/>
      <c r="G52" s="155"/>
      <c r="H52" s="155"/>
      <c r="I52" s="155"/>
      <c r="J52" s="155"/>
      <c r="K52" s="155"/>
      <c r="L52" s="155"/>
      <c r="M52" s="155"/>
      <c r="N52" s="154"/>
    </row>
    <row r="53" spans="2:14" ht="12">
      <c r="B53" s="153"/>
      <c r="C53" s="54">
        <f t="shared" si="5"/>
        <v>692.8000000000009</v>
      </c>
      <c r="D53" s="55">
        <f t="shared" si="3"/>
        <v>-45.02113495645393</v>
      </c>
      <c r="E53" s="55">
        <f t="shared" si="4"/>
        <v>-41.29602545491803</v>
      </c>
      <c r="F53" s="155"/>
      <c r="G53" s="155"/>
      <c r="H53" s="155"/>
      <c r="I53" s="155"/>
      <c r="J53" s="155"/>
      <c r="K53" s="155"/>
      <c r="L53" s="155"/>
      <c r="M53" s="155"/>
      <c r="N53" s="154"/>
    </row>
    <row r="54" spans="2:14" ht="12">
      <c r="B54" s="153"/>
      <c r="C54" s="54">
        <f t="shared" si="5"/>
        <v>693.4000000000009</v>
      </c>
      <c r="D54" s="55">
        <f t="shared" si="3"/>
        <v>-42.60857950679459</v>
      </c>
      <c r="E54" s="55">
        <f t="shared" si="4"/>
        <v>-38.70511824382114</v>
      </c>
      <c r="F54" s="155"/>
      <c r="G54" s="155"/>
      <c r="H54" s="155"/>
      <c r="I54" s="155"/>
      <c r="J54" s="155"/>
      <c r="K54" s="155"/>
      <c r="L54" s="155"/>
      <c r="M54" s="155"/>
      <c r="N54" s="154"/>
    </row>
    <row r="55" spans="2:14" ht="12">
      <c r="B55" s="153"/>
      <c r="C55" s="54">
        <f t="shared" si="5"/>
        <v>694.0000000000009</v>
      </c>
      <c r="D55" s="55">
        <f t="shared" si="3"/>
        <v>-40.05646697502402</v>
      </c>
      <c r="E55" s="55">
        <f t="shared" si="4"/>
        <v>-35.93863485885873</v>
      </c>
      <c r="F55" s="155"/>
      <c r="G55" s="155"/>
      <c r="H55" s="155"/>
      <c r="I55" s="155"/>
      <c r="J55" s="155"/>
      <c r="K55" s="155"/>
      <c r="L55" s="155"/>
      <c r="M55" s="155"/>
      <c r="N55" s="154"/>
    </row>
    <row r="56" spans="2:14" ht="12">
      <c r="B56" s="153"/>
      <c r="C56" s="54">
        <f t="shared" si="5"/>
        <v>694.6000000000009</v>
      </c>
      <c r="D56" s="55">
        <f t="shared" si="3"/>
        <v>-37.3475743070715</v>
      </c>
      <c r="E56" s="55">
        <f t="shared" si="4"/>
        <v>-32.96878321417358</v>
      </c>
      <c r="F56" s="155"/>
      <c r="G56" s="155"/>
      <c r="H56" s="155"/>
      <c r="I56" s="155"/>
      <c r="J56" s="155"/>
      <c r="K56" s="155"/>
      <c r="L56" s="155"/>
      <c r="M56" s="155"/>
      <c r="N56" s="154"/>
    </row>
    <row r="57" spans="2:14" ht="12">
      <c r="B57" s="153"/>
      <c r="C57" s="54">
        <f t="shared" si="5"/>
        <v>695.200000000001</v>
      </c>
      <c r="D57" s="55">
        <f t="shared" si="3"/>
        <v>-34.46135597761139</v>
      </c>
      <c r="E57" s="55">
        <f t="shared" si="4"/>
        <v>-29.76028824136352</v>
      </c>
      <c r="F57" s="155"/>
      <c r="G57" s="155"/>
      <c r="H57" s="155"/>
      <c r="I57" s="155"/>
      <c r="J57" s="155"/>
      <c r="K57" s="155"/>
      <c r="L57" s="155"/>
      <c r="M57" s="155"/>
      <c r="N57" s="154"/>
    </row>
    <row r="58" spans="2:14" ht="12">
      <c r="B58" s="153"/>
      <c r="C58" s="54">
        <f t="shared" si="5"/>
        <v>695.800000000001</v>
      </c>
      <c r="D58" s="55">
        <f t="shared" si="3"/>
        <v>-31.373130153781744</v>
      </c>
      <c r="E58" s="55">
        <f t="shared" si="4"/>
        <v>-26.26764598819515</v>
      </c>
      <c r="F58" s="155"/>
      <c r="G58" s="155"/>
      <c r="H58" s="155"/>
      <c r="I58" s="155"/>
      <c r="J58" s="155"/>
      <c r="K58" s="155"/>
      <c r="L58" s="155"/>
      <c r="M58" s="155"/>
      <c r="N58" s="154"/>
    </row>
    <row r="59" spans="2:14" ht="12">
      <c r="B59" s="153"/>
      <c r="C59" s="54">
        <f t="shared" si="5"/>
        <v>696.400000000001</v>
      </c>
      <c r="D59" s="55">
        <f t="shared" si="3"/>
        <v>-28.053161272626802</v>
      </c>
      <c r="E59" s="55">
        <f t="shared" si="4"/>
        <v>-22.4317407524618</v>
      </c>
      <c r="F59" s="155"/>
      <c r="G59" s="155"/>
      <c r="H59" s="155"/>
      <c r="I59" s="155"/>
      <c r="J59" s="155"/>
      <c r="K59" s="155"/>
      <c r="L59" s="155"/>
      <c r="M59" s="155"/>
      <c r="N59" s="154"/>
    </row>
    <row r="60" spans="2:14" ht="12">
      <c r="B60" s="153"/>
      <c r="C60" s="54">
        <f t="shared" si="5"/>
        <v>697.000000000001</v>
      </c>
      <c r="D60" s="55">
        <f t="shared" si="3"/>
        <v>-24.465986889509367</v>
      </c>
      <c r="E60" s="55">
        <f t="shared" si="4"/>
        <v>-18.17822264182157</v>
      </c>
      <c r="F60" s="155"/>
      <c r="G60" s="155"/>
      <c r="H60" s="155"/>
      <c r="I60" s="155"/>
      <c r="J60" s="155"/>
      <c r="K60" s="155"/>
      <c r="L60" s="155"/>
      <c r="M60" s="155"/>
      <c r="N60" s="154"/>
    </row>
    <row r="61" spans="2:14" ht="12">
      <c r="B61" s="153"/>
      <c r="C61" s="54">
        <f t="shared" si="5"/>
        <v>697.600000000001</v>
      </c>
      <c r="D61" s="55">
        <f t="shared" si="3"/>
        <v>-20.57146982282857</v>
      </c>
      <c r="E61" s="55">
        <f t="shared" si="4"/>
        <v>-13.432818634324054</v>
      </c>
      <c r="F61" s="155"/>
      <c r="G61" s="155"/>
      <c r="H61" s="155"/>
      <c r="I61" s="155"/>
      <c r="J61" s="155"/>
      <c r="K61" s="155"/>
      <c r="L61" s="155"/>
      <c r="M61" s="155"/>
      <c r="N61" s="154"/>
    </row>
    <row r="62" spans="2:14" ht="12">
      <c r="B62" s="153"/>
      <c r="C62" s="54">
        <f t="shared" si="5"/>
        <v>698.2000000000011</v>
      </c>
      <c r="D62" s="55">
        <f t="shared" si="3"/>
        <v>-16.33350701956091</v>
      </c>
      <c r="E62" s="55">
        <f t="shared" si="4"/>
        <v>-8.237829292215583</v>
      </c>
      <c r="F62" s="155"/>
      <c r="G62" s="155"/>
      <c r="H62" s="155"/>
      <c r="I62" s="155"/>
      <c r="J62" s="155"/>
      <c r="K62" s="155"/>
      <c r="L62" s="155"/>
      <c r="M62" s="155"/>
      <c r="N62" s="154"/>
    </row>
    <row r="63" spans="2:14" ht="12">
      <c r="B63" s="153"/>
      <c r="C63" s="54">
        <f t="shared" si="5"/>
        <v>698.8000000000011</v>
      </c>
      <c r="D63" s="55">
        <f t="shared" si="3"/>
        <v>-11.759958688637038</v>
      </c>
      <c r="E63" s="55">
        <f t="shared" si="4"/>
        <v>-3.3022357172567545</v>
      </c>
      <c r="F63" s="155"/>
      <c r="G63" s="155"/>
      <c r="H63" s="155"/>
      <c r="I63" s="155"/>
      <c r="J63" s="155"/>
      <c r="K63" s="155"/>
      <c r="L63" s="155"/>
      <c r="M63" s="155"/>
      <c r="N63" s="154"/>
    </row>
    <row r="64" spans="2:14" ht="12">
      <c r="B64" s="153"/>
      <c r="C64" s="54">
        <f t="shared" si="5"/>
        <v>699.4000000000011</v>
      </c>
      <c r="D64" s="55">
        <f t="shared" si="3"/>
        <v>-7.057027529596688</v>
      </c>
      <c r="E64" s="55">
        <f t="shared" si="4"/>
        <v>-0.5395007616739973</v>
      </c>
      <c r="F64" s="155"/>
      <c r="G64" s="155"/>
      <c r="H64" s="155"/>
      <c r="I64" s="155"/>
      <c r="J64" s="155"/>
      <c r="K64" s="155"/>
      <c r="L64" s="155"/>
      <c r="M64" s="155"/>
      <c r="N64" s="154"/>
    </row>
    <row r="65" spans="2:14" ht="12">
      <c r="B65" s="153"/>
      <c r="C65" s="54">
        <f t="shared" si="5"/>
        <v>700.0000000000011</v>
      </c>
      <c r="D65" s="55">
        <f t="shared" si="3"/>
        <v>-3.010299956633631</v>
      </c>
      <c r="E65" s="55">
        <f t="shared" si="4"/>
        <v>-0.009999999999857376</v>
      </c>
      <c r="F65" s="155"/>
      <c r="G65" s="155"/>
      <c r="H65" s="155"/>
      <c r="I65" s="155"/>
      <c r="J65" s="155"/>
      <c r="K65" s="155"/>
      <c r="L65" s="155"/>
      <c r="M65" s="155"/>
      <c r="N65" s="154"/>
    </row>
    <row r="66" spans="2:14" ht="12">
      <c r="B66" s="153"/>
      <c r="C66" s="54">
        <f t="shared" si="5"/>
        <v>700.6000000000012</v>
      </c>
      <c r="D66" s="55">
        <f t="shared" si="3"/>
        <v>-0.7738508100556714</v>
      </c>
      <c r="E66" s="55">
        <f t="shared" si="4"/>
        <v>-0.008760097742558617</v>
      </c>
      <c r="F66" s="155"/>
      <c r="G66" s="155"/>
      <c r="H66" s="155"/>
      <c r="I66" s="155"/>
      <c r="J66" s="155"/>
      <c r="K66" s="155"/>
      <c r="L66" s="155"/>
      <c r="M66" s="155"/>
      <c r="N66" s="154"/>
    </row>
    <row r="67" spans="2:14" ht="12">
      <c r="B67" s="153"/>
      <c r="C67" s="54">
        <f t="shared" si="5"/>
        <v>701.2000000000012</v>
      </c>
      <c r="D67" s="55">
        <f t="shared" si="3"/>
        <v>-0.11851980003723082</v>
      </c>
      <c r="E67" s="55">
        <f t="shared" si="4"/>
        <v>-0.004402511032767512</v>
      </c>
      <c r="F67" s="155"/>
      <c r="G67" s="155"/>
      <c r="H67" s="155"/>
      <c r="I67" s="155"/>
      <c r="J67" s="155"/>
      <c r="K67" s="155"/>
      <c r="L67" s="155"/>
      <c r="M67" s="155"/>
      <c r="N67" s="154"/>
    </row>
    <row r="68" spans="2:14" ht="12">
      <c r="B68" s="153"/>
      <c r="C68" s="54">
        <f t="shared" si="5"/>
        <v>701.8000000000012</v>
      </c>
      <c r="D68" s="55">
        <f t="shared" si="3"/>
        <v>-0.010596369268348563</v>
      </c>
      <c r="E68" s="55">
        <f t="shared" si="4"/>
        <v>-0.0005733489386108043</v>
      </c>
      <c r="F68" s="155"/>
      <c r="G68" s="155"/>
      <c r="H68" s="155"/>
      <c r="I68" s="155"/>
      <c r="J68" s="155"/>
      <c r="K68" s="155"/>
      <c r="L68" s="155"/>
      <c r="M68" s="155"/>
      <c r="N68" s="154"/>
    </row>
    <row r="69" spans="2:14" ht="12">
      <c r="B69" s="153"/>
      <c r="C69" s="54">
        <f t="shared" si="5"/>
        <v>702.4000000000012</v>
      </c>
      <c r="D69" s="55">
        <f t="shared" si="3"/>
        <v>-0.00042886064771063175</v>
      </c>
      <c r="E69" s="55">
        <f t="shared" si="4"/>
        <v>-0.007920495290473496</v>
      </c>
      <c r="F69" s="155"/>
      <c r="G69" s="155"/>
      <c r="H69" s="155"/>
      <c r="I69" s="155"/>
      <c r="J69" s="155"/>
      <c r="K69" s="155"/>
      <c r="L69" s="155"/>
      <c r="M69" s="155"/>
      <c r="N69" s="154"/>
    </row>
    <row r="70" spans="2:14" ht="12">
      <c r="B70" s="153"/>
      <c r="C70" s="54">
        <f t="shared" si="5"/>
        <v>703.0000000000013</v>
      </c>
      <c r="D70" s="55">
        <f t="shared" si="3"/>
        <v>-3.720508534192297E-06</v>
      </c>
      <c r="E70" s="55">
        <f t="shared" si="4"/>
        <v>-0.009004553470142606</v>
      </c>
      <c r="F70" s="155"/>
      <c r="G70" s="155"/>
      <c r="H70" s="155"/>
      <c r="I70" s="155"/>
      <c r="J70" s="155"/>
      <c r="K70" s="155"/>
      <c r="L70" s="155"/>
      <c r="M70" s="155"/>
      <c r="N70" s="154"/>
    </row>
    <row r="71" spans="2:14" ht="12">
      <c r="B71" s="153"/>
      <c r="C71" s="54">
        <f t="shared" si="5"/>
        <v>703.6000000000013</v>
      </c>
      <c r="D71" s="55">
        <f t="shared" si="3"/>
        <v>-3.2644991993014884E-10</v>
      </c>
      <c r="E71" s="55">
        <f t="shared" si="4"/>
        <v>-0.002189491241611361</v>
      </c>
      <c r="F71" s="155"/>
      <c r="G71" s="155"/>
      <c r="H71" s="155"/>
      <c r="I71" s="155"/>
      <c r="J71" s="155"/>
      <c r="K71" s="155"/>
      <c r="L71" s="155"/>
      <c r="M71" s="155"/>
      <c r="N71" s="154"/>
    </row>
    <row r="72" spans="2:14" ht="12">
      <c r="B72" s="153"/>
      <c r="C72" s="54">
        <f t="shared" si="5"/>
        <v>704.2000000000013</v>
      </c>
      <c r="D72" s="55">
        <f t="shared" si="3"/>
        <v>-7.357818569800958E-13</v>
      </c>
      <c r="E72" s="55">
        <f t="shared" si="4"/>
        <v>-0.000683102411456061</v>
      </c>
      <c r="F72" s="155"/>
      <c r="G72" s="155"/>
      <c r="H72" s="155"/>
      <c r="I72" s="155"/>
      <c r="J72" s="155"/>
      <c r="K72" s="155"/>
      <c r="L72" s="155"/>
      <c r="M72" s="155"/>
      <c r="N72" s="154"/>
    </row>
    <row r="73" spans="2:14" ht="12">
      <c r="B73" s="153"/>
      <c r="C73" s="54">
        <f t="shared" si="5"/>
        <v>704.8000000000013</v>
      </c>
      <c r="D73" s="55">
        <f t="shared" si="3"/>
        <v>-5.091429649041887E-07</v>
      </c>
      <c r="E73" s="55">
        <f t="shared" si="4"/>
        <v>-0.007269366153419486</v>
      </c>
      <c r="F73" s="155"/>
      <c r="G73" s="155"/>
      <c r="H73" s="155"/>
      <c r="I73" s="155"/>
      <c r="J73" s="155"/>
      <c r="K73" s="155"/>
      <c r="L73" s="155"/>
      <c r="M73" s="155"/>
      <c r="N73" s="154"/>
    </row>
    <row r="74" spans="2:14" ht="12">
      <c r="B74" s="153"/>
      <c r="C74" s="54">
        <f t="shared" si="5"/>
        <v>705.4000000000013</v>
      </c>
      <c r="D74" s="55">
        <f t="shared" si="3"/>
        <v>-0.00012859397840106831</v>
      </c>
      <c r="E74" s="55">
        <f t="shared" si="4"/>
        <v>-0.009479296049610477</v>
      </c>
      <c r="F74" s="155"/>
      <c r="G74" s="155"/>
      <c r="H74" s="155"/>
      <c r="I74" s="155"/>
      <c r="J74" s="155"/>
      <c r="K74" s="155"/>
      <c r="L74" s="155"/>
      <c r="M74" s="155"/>
      <c r="N74" s="154"/>
    </row>
    <row r="75" spans="2:14" ht="12">
      <c r="B75" s="153"/>
      <c r="C75" s="54">
        <f t="shared" si="5"/>
        <v>706.0000000000014</v>
      </c>
      <c r="D75" s="55">
        <f t="shared" si="3"/>
        <v>-0.004422609014128389</v>
      </c>
      <c r="E75" s="55">
        <f t="shared" si="4"/>
        <v>-0.0023965537936284104</v>
      </c>
      <c r="F75" s="155"/>
      <c r="G75" s="155"/>
      <c r="H75" s="155"/>
      <c r="I75" s="155"/>
      <c r="J75" s="155"/>
      <c r="K75" s="155"/>
      <c r="L75" s="155"/>
      <c r="M75" s="155"/>
      <c r="N75" s="154"/>
    </row>
    <row r="76" spans="2:14" ht="12">
      <c r="B76" s="153"/>
      <c r="C76" s="54">
        <f t="shared" si="5"/>
        <v>706.6000000000014</v>
      </c>
      <c r="D76" s="55">
        <f t="shared" si="3"/>
        <v>-0.059544951256864</v>
      </c>
      <c r="E76" s="55">
        <f t="shared" si="4"/>
        <v>-0.0015692291563367108</v>
      </c>
      <c r="F76" s="155"/>
      <c r="G76" s="155"/>
      <c r="H76" s="155"/>
      <c r="I76" s="155"/>
      <c r="J76" s="155"/>
      <c r="K76" s="155"/>
      <c r="L76" s="155"/>
      <c r="M76" s="155"/>
      <c r="N76" s="154"/>
    </row>
    <row r="77" spans="2:14" ht="12">
      <c r="B77" s="153"/>
      <c r="C77" s="54">
        <f t="shared" si="5"/>
        <v>707.2000000000014</v>
      </c>
      <c r="D77" s="55">
        <f t="shared" si="3"/>
        <v>-0.4483304710011633</v>
      </c>
      <c r="E77" s="55">
        <f t="shared" si="4"/>
        <v>-0.009954667443361202</v>
      </c>
      <c r="F77" s="155"/>
      <c r="G77" s="155"/>
      <c r="H77" s="155"/>
      <c r="I77" s="155"/>
      <c r="J77" s="155"/>
      <c r="K77" s="155"/>
      <c r="L77" s="155"/>
      <c r="M77" s="155"/>
      <c r="N77" s="154"/>
    </row>
    <row r="78" spans="2:14" ht="12">
      <c r="B78" s="153"/>
      <c r="C78" s="54">
        <f t="shared" si="5"/>
        <v>707.8000000000014</v>
      </c>
      <c r="D78" s="55">
        <f t="shared" si="3"/>
        <v>-2.0424904498704928</v>
      </c>
      <c r="E78" s="55">
        <f t="shared" si="4"/>
        <v>-1.586401353829814E-06</v>
      </c>
      <c r="F78" s="155"/>
      <c r="G78" s="155"/>
      <c r="H78" s="155"/>
      <c r="I78" s="155"/>
      <c r="J78" s="155"/>
      <c r="K78" s="155"/>
      <c r="L78" s="155"/>
      <c r="M78" s="155"/>
      <c r="N78" s="154"/>
    </row>
    <row r="79" spans="2:14" ht="12">
      <c r="B79" s="153"/>
      <c r="C79" s="54">
        <f t="shared" si="5"/>
        <v>708.4000000000015</v>
      </c>
      <c r="D79" s="55">
        <f aca="true" t="shared" si="6" ref="D79:D110">-10*LOG(1+(ABS((C79/$D$123)-($D$123/C79))/$E$123)^(2*$D$5))</f>
        <v>-5.538583259734323</v>
      </c>
      <c r="E79" s="55">
        <f aca="true" t="shared" si="7" ref="E79:E115">IF(C79/$D$7&lt;1,-10*LOG(1+$D$122*(COSH($D$5*ACOSH((ABS((C79/$D$123)-($D$123/C79))/$E$123))))^2),IF(C79/$D$6&lt;1,-10*LOG(1+$D$122*(COS($D$5*ACOS((ABS((C79/$D$123)-($D$123/C79))/$E$123))))^2),-10*LOG(1+$D$122*(COSH($D$5*ACOSH((ABS((C79/$D$123)-($D$123/C79))/$E$123)))^2))))</f>
        <v>-0.208497430937103</v>
      </c>
      <c r="F79" s="155"/>
      <c r="G79" s="155"/>
      <c r="H79" s="155"/>
      <c r="I79" s="155"/>
      <c r="J79" s="155"/>
      <c r="K79" s="155"/>
      <c r="L79" s="155"/>
      <c r="M79" s="155"/>
      <c r="N79" s="154"/>
    </row>
    <row r="80" spans="2:14" ht="12">
      <c r="B80" s="153"/>
      <c r="C80" s="54">
        <f aca="true" t="shared" si="8" ref="C80:C115">C79+$D$12</f>
        <v>709.0000000000015</v>
      </c>
      <c r="D80" s="55">
        <f t="shared" si="6"/>
        <v>-10.08416081092632</v>
      </c>
      <c r="E80" s="55">
        <f t="shared" si="7"/>
        <v>-1.9835966361032622</v>
      </c>
      <c r="F80" s="155"/>
      <c r="G80" s="155"/>
      <c r="H80" s="155"/>
      <c r="I80" s="155"/>
      <c r="J80" s="155"/>
      <c r="K80" s="155"/>
      <c r="L80" s="155"/>
      <c r="M80" s="155"/>
      <c r="N80" s="154"/>
    </row>
    <row r="81" spans="2:14" ht="12">
      <c r="B81" s="153"/>
      <c r="C81" s="54">
        <f t="shared" si="8"/>
        <v>709.6000000000015</v>
      </c>
      <c r="D81" s="55">
        <f t="shared" si="6"/>
        <v>-14.67922670567611</v>
      </c>
      <c r="E81" s="55">
        <f t="shared" si="7"/>
        <v>-6.301533048863766</v>
      </c>
      <c r="F81" s="155"/>
      <c r="G81" s="155"/>
      <c r="H81" s="155"/>
      <c r="I81" s="155"/>
      <c r="J81" s="155"/>
      <c r="K81" s="155"/>
      <c r="L81" s="155"/>
      <c r="M81" s="155"/>
      <c r="N81" s="154"/>
    </row>
    <row r="82" spans="2:14" ht="12">
      <c r="B82" s="153"/>
      <c r="C82" s="54">
        <f t="shared" si="8"/>
        <v>710.2000000000015</v>
      </c>
      <c r="D82" s="55">
        <f t="shared" si="6"/>
        <v>-18.977671908023034</v>
      </c>
      <c r="E82" s="55">
        <f t="shared" si="7"/>
        <v>-11.467337951497584</v>
      </c>
      <c r="F82" s="155"/>
      <c r="G82" s="155"/>
      <c r="H82" s="155"/>
      <c r="I82" s="155"/>
      <c r="J82" s="155"/>
      <c r="K82" s="155"/>
      <c r="L82" s="155"/>
      <c r="M82" s="155"/>
      <c r="N82" s="154"/>
    </row>
    <row r="83" spans="2:14" ht="12">
      <c r="B83" s="153"/>
      <c r="C83" s="54">
        <f t="shared" si="8"/>
        <v>710.8000000000015</v>
      </c>
      <c r="D83" s="55">
        <f t="shared" si="6"/>
        <v>-22.930994297054635</v>
      </c>
      <c r="E83" s="55">
        <f t="shared" si="7"/>
        <v>-16.32207276398484</v>
      </c>
      <c r="F83" s="155"/>
      <c r="G83" s="155"/>
      <c r="H83" s="155"/>
      <c r="I83" s="155"/>
      <c r="J83" s="155"/>
      <c r="K83" s="155"/>
      <c r="L83" s="155"/>
      <c r="M83" s="155"/>
      <c r="N83" s="154"/>
    </row>
    <row r="84" spans="2:14" ht="12">
      <c r="B84" s="153"/>
      <c r="C84" s="54">
        <f t="shared" si="8"/>
        <v>711.4000000000016</v>
      </c>
      <c r="D84" s="55">
        <f t="shared" si="6"/>
        <v>-26.566583718527706</v>
      </c>
      <c r="E84" s="55">
        <f t="shared" si="7"/>
        <v>-20.683387968440037</v>
      </c>
      <c r="F84" s="155"/>
      <c r="G84" s="155"/>
      <c r="H84" s="155"/>
      <c r="I84" s="155"/>
      <c r="J84" s="155"/>
      <c r="K84" s="155"/>
      <c r="L84" s="155"/>
      <c r="M84" s="155"/>
      <c r="N84" s="154"/>
    </row>
    <row r="85" spans="2:14" ht="12">
      <c r="B85" s="153"/>
      <c r="C85" s="54">
        <f t="shared" si="8"/>
        <v>712.0000000000016</v>
      </c>
      <c r="D85" s="55">
        <f t="shared" si="6"/>
        <v>-29.92404553868443</v>
      </c>
      <c r="E85" s="55">
        <f t="shared" si="7"/>
        <v>-24.604505345079822</v>
      </c>
      <c r="F85" s="155"/>
      <c r="G85" s="155"/>
      <c r="H85" s="155"/>
      <c r="I85" s="155"/>
      <c r="J85" s="155"/>
      <c r="K85" s="155"/>
      <c r="L85" s="155"/>
      <c r="M85" s="155"/>
      <c r="N85" s="154"/>
    </row>
    <row r="86" spans="2:14" ht="12">
      <c r="B86" s="153"/>
      <c r="C86" s="54">
        <f t="shared" si="8"/>
        <v>712.6000000000016</v>
      </c>
      <c r="D86" s="55">
        <f t="shared" si="6"/>
        <v>-33.04014533832468</v>
      </c>
      <c r="E86" s="55">
        <f t="shared" si="7"/>
        <v>-28.16123961557983</v>
      </c>
      <c r="F86" s="155"/>
      <c r="G86" s="155"/>
      <c r="H86" s="155"/>
      <c r="I86" s="155"/>
      <c r="J86" s="155"/>
      <c r="K86" s="155"/>
      <c r="L86" s="155"/>
      <c r="M86" s="155"/>
      <c r="N86" s="154"/>
    </row>
    <row r="87" spans="2:14" ht="12">
      <c r="B87" s="153"/>
      <c r="C87" s="54">
        <f t="shared" si="8"/>
        <v>713.2000000000016</v>
      </c>
      <c r="D87" s="55">
        <f t="shared" si="6"/>
        <v>-35.94613179113462</v>
      </c>
      <c r="E87" s="55">
        <f t="shared" si="7"/>
        <v>-31.41700988110369</v>
      </c>
      <c r="F87" s="155"/>
      <c r="G87" s="155"/>
      <c r="H87" s="155"/>
      <c r="I87" s="155"/>
      <c r="J87" s="155"/>
      <c r="K87" s="155"/>
      <c r="L87" s="155"/>
      <c r="M87" s="155"/>
      <c r="N87" s="154"/>
    </row>
    <row r="88" spans="2:14" ht="12">
      <c r="B88" s="153"/>
      <c r="C88" s="54">
        <f t="shared" si="8"/>
        <v>713.8000000000017</v>
      </c>
      <c r="D88" s="55">
        <f t="shared" si="6"/>
        <v>-38.66802388975247</v>
      </c>
      <c r="E88" s="55">
        <f t="shared" si="7"/>
        <v>-34.421064331359396</v>
      </c>
      <c r="F88" s="155"/>
      <c r="G88" s="155"/>
      <c r="H88" s="155"/>
      <c r="I88" s="155"/>
      <c r="J88" s="155"/>
      <c r="K88" s="155"/>
      <c r="L88" s="155"/>
      <c r="M88" s="155"/>
      <c r="N88" s="154"/>
    </row>
    <row r="89" spans="2:14" ht="12">
      <c r="B89" s="153"/>
      <c r="C89" s="54">
        <f t="shared" si="8"/>
        <v>714.4000000000017</v>
      </c>
      <c r="D89" s="55">
        <f t="shared" si="6"/>
        <v>-41.227470321700636</v>
      </c>
      <c r="E89" s="55">
        <f t="shared" si="7"/>
        <v>-37.21151798368441</v>
      </c>
      <c r="F89" s="155"/>
      <c r="G89" s="155"/>
      <c r="H89" s="155"/>
      <c r="I89" s="155"/>
      <c r="J89" s="155"/>
      <c r="K89" s="155"/>
      <c r="L89" s="155"/>
      <c r="M89" s="155"/>
      <c r="N89" s="154"/>
    </row>
    <row r="90" spans="2:14" ht="12">
      <c r="B90" s="153"/>
      <c r="C90" s="54">
        <f t="shared" si="8"/>
        <v>715.0000000000017</v>
      </c>
      <c r="D90" s="55">
        <f t="shared" si="6"/>
        <v>-43.642587452865385</v>
      </c>
      <c r="E90" s="55">
        <f t="shared" si="7"/>
        <v>-39.81826744430482</v>
      </c>
      <c r="F90" s="155"/>
      <c r="G90" s="155"/>
      <c r="H90" s="155"/>
      <c r="I90" s="155"/>
      <c r="J90" s="155"/>
      <c r="K90" s="155"/>
      <c r="L90" s="155"/>
      <c r="M90" s="155"/>
      <c r="N90" s="154"/>
    </row>
    <row r="91" spans="2:14" ht="12">
      <c r="B91" s="153"/>
      <c r="C91" s="54">
        <f t="shared" si="8"/>
        <v>715.6000000000017</v>
      </c>
      <c r="D91" s="55">
        <f t="shared" si="6"/>
        <v>-45.92865339075714</v>
      </c>
      <c r="E91" s="55">
        <f t="shared" si="7"/>
        <v>-42.265159468555694</v>
      </c>
      <c r="F91" s="155"/>
      <c r="G91" s="155"/>
      <c r="H91" s="155"/>
      <c r="I91" s="155"/>
      <c r="J91" s="155"/>
      <c r="K91" s="155"/>
      <c r="L91" s="155"/>
      <c r="M91" s="155"/>
      <c r="N91" s="154"/>
    </row>
    <row r="92" spans="2:14" ht="12">
      <c r="B92" s="153"/>
      <c r="C92" s="54">
        <f t="shared" si="8"/>
        <v>716.2000000000018</v>
      </c>
      <c r="D92" s="55">
        <f t="shared" si="6"/>
        <v>-48.09865698245251</v>
      </c>
      <c r="E92" s="55">
        <f t="shared" si="7"/>
        <v>-44.5715275852223</v>
      </c>
      <c r="F92" s="155"/>
      <c r="G92" s="155"/>
      <c r="H92" s="155"/>
      <c r="I92" s="155"/>
      <c r="J92" s="155"/>
      <c r="K92" s="155"/>
      <c r="L92" s="155"/>
      <c r="M92" s="155"/>
      <c r="N92" s="154"/>
    </row>
    <row r="93" spans="2:14" ht="12">
      <c r="B93" s="153"/>
      <c r="C93" s="54">
        <f t="shared" si="8"/>
        <v>716.8000000000018</v>
      </c>
      <c r="D93" s="55">
        <f t="shared" si="6"/>
        <v>-50.16372709071674</v>
      </c>
      <c r="E93" s="55">
        <f t="shared" si="7"/>
        <v>-46.75327944611655</v>
      </c>
      <c r="F93" s="155"/>
      <c r="G93" s="155"/>
      <c r="H93" s="155"/>
      <c r="I93" s="155"/>
      <c r="J93" s="155"/>
      <c r="K93" s="155"/>
      <c r="L93" s="155"/>
      <c r="M93" s="155"/>
      <c r="N93" s="154"/>
    </row>
    <row r="94" spans="2:14" ht="12">
      <c r="B94" s="153"/>
      <c r="C94" s="54">
        <f t="shared" si="8"/>
        <v>717.4000000000018</v>
      </c>
      <c r="D94" s="55">
        <f t="shared" si="6"/>
        <v>-52.133468653947105</v>
      </c>
      <c r="E94" s="55">
        <f t="shared" si="7"/>
        <v>-48.82367634261682</v>
      </c>
      <c r="F94" s="155"/>
      <c r="G94" s="155"/>
      <c r="H94" s="155"/>
      <c r="I94" s="155"/>
      <c r="J94" s="155"/>
      <c r="K94" s="155"/>
      <c r="L94" s="155"/>
      <c r="M94" s="155"/>
      <c r="N94" s="154"/>
    </row>
    <row r="95" spans="2:14" ht="12">
      <c r="B95" s="153"/>
      <c r="C95" s="54">
        <f t="shared" si="8"/>
        <v>718.0000000000018</v>
      </c>
      <c r="D95" s="55">
        <f t="shared" si="6"/>
        <v>-54.016227407742655</v>
      </c>
      <c r="E95" s="55">
        <f t="shared" si="7"/>
        <v>-50.7939017411714</v>
      </c>
      <c r="F95" s="155"/>
      <c r="G95" s="155"/>
      <c r="H95" s="155"/>
      <c r="I95" s="155"/>
      <c r="J95" s="155"/>
      <c r="K95" s="155"/>
      <c r="L95" s="155"/>
      <c r="M95" s="155"/>
      <c r="N95" s="154"/>
    </row>
    <row r="96" spans="2:14" ht="12">
      <c r="B96" s="153"/>
      <c r="C96" s="54">
        <f t="shared" si="8"/>
        <v>718.6000000000018</v>
      </c>
      <c r="D96" s="55">
        <f t="shared" si="6"/>
        <v>-55.8193001069419</v>
      </c>
      <c r="E96" s="55">
        <f t="shared" si="7"/>
        <v>-52.67348336668555</v>
      </c>
      <c r="F96" s="155"/>
      <c r="G96" s="155"/>
      <c r="H96" s="155"/>
      <c r="I96" s="155"/>
      <c r="J96" s="155"/>
      <c r="K96" s="155"/>
      <c r="L96" s="155"/>
      <c r="M96" s="155"/>
      <c r="N96" s="154"/>
    </row>
    <row r="97" spans="2:14" ht="12">
      <c r="B97" s="153"/>
      <c r="C97" s="54">
        <f t="shared" si="8"/>
        <v>719.2000000000019</v>
      </c>
      <c r="D97" s="55">
        <f t="shared" si="6"/>
        <v>-57.54910291607182</v>
      </c>
      <c r="E97" s="55">
        <f t="shared" si="7"/>
        <v>-54.47061190809087</v>
      </c>
      <c r="F97" s="155"/>
      <c r="G97" s="155"/>
      <c r="H97" s="155"/>
      <c r="I97" s="155"/>
      <c r="J97" s="155"/>
      <c r="K97" s="155"/>
      <c r="L97" s="155"/>
      <c r="M97" s="155"/>
      <c r="N97" s="154"/>
    </row>
    <row r="98" spans="2:14" ht="12">
      <c r="B98" s="153"/>
      <c r="C98" s="54">
        <f t="shared" si="8"/>
        <v>719.8000000000019</v>
      </c>
      <c r="D98" s="55">
        <f t="shared" si="6"/>
        <v>-59.21130745266656</v>
      </c>
      <c r="E98" s="55">
        <f t="shared" si="7"/>
        <v>-56.19238545975023</v>
      </c>
      <c r="F98" s="155"/>
      <c r="G98" s="155"/>
      <c r="H98" s="155"/>
      <c r="I98" s="155"/>
      <c r="J98" s="155"/>
      <c r="K98" s="155"/>
      <c r="L98" s="155"/>
      <c r="M98" s="155"/>
      <c r="N98" s="154"/>
    </row>
    <row r="99" spans="2:14" ht="12">
      <c r="B99" s="153"/>
      <c r="C99" s="54">
        <f t="shared" si="8"/>
        <v>720.4000000000019</v>
      </c>
      <c r="D99" s="55">
        <f t="shared" si="6"/>
        <v>-60.81095160564619</v>
      </c>
      <c r="E99" s="55">
        <f t="shared" si="7"/>
        <v>-57.84499969802038</v>
      </c>
      <c r="F99" s="155"/>
      <c r="G99" s="155"/>
      <c r="H99" s="155"/>
      <c r="I99" s="155"/>
      <c r="J99" s="155"/>
      <c r="K99" s="155"/>
      <c r="L99" s="155"/>
      <c r="M99" s="155"/>
      <c r="N99" s="154"/>
    </row>
    <row r="100" spans="2:14" ht="12">
      <c r="B100" s="153"/>
      <c r="C100" s="54">
        <f t="shared" si="8"/>
        <v>721.0000000000019</v>
      </c>
      <c r="D100" s="55">
        <f t="shared" si="6"/>
        <v>-62.352530511809746</v>
      </c>
      <c r="E100" s="55">
        <f t="shared" si="7"/>
        <v>-59.433897768558225</v>
      </c>
      <c r="F100" s="155"/>
      <c r="G100" s="155"/>
      <c r="H100" s="155"/>
      <c r="I100" s="155"/>
      <c r="J100" s="155"/>
      <c r="K100" s="155"/>
      <c r="L100" s="155"/>
      <c r="M100" s="155"/>
      <c r="N100" s="154"/>
    </row>
    <row r="101" spans="2:14" ht="12">
      <c r="B101" s="153"/>
      <c r="C101" s="54">
        <f t="shared" si="8"/>
        <v>721.600000000002</v>
      </c>
      <c r="D101" s="55">
        <f t="shared" si="6"/>
        <v>-63.840071791610605</v>
      </c>
      <c r="E101" s="55">
        <f t="shared" si="7"/>
        <v>-60.963889815998364</v>
      </c>
      <c r="F101" s="155"/>
      <c r="G101" s="155"/>
      <c r="H101" s="155"/>
      <c r="I101" s="155"/>
      <c r="J101" s="155"/>
      <c r="K101" s="155"/>
      <c r="L101" s="155"/>
      <c r="M101" s="155"/>
      <c r="N101" s="154"/>
    </row>
    <row r="102" spans="2:14" ht="12">
      <c r="B102" s="153"/>
      <c r="C102" s="54">
        <f t="shared" si="8"/>
        <v>722.200000000002</v>
      </c>
      <c r="D102" s="55">
        <f t="shared" si="6"/>
        <v>-65.27719819544305</v>
      </c>
      <c r="E102" s="55">
        <f t="shared" si="7"/>
        <v>-62.43924932733714</v>
      </c>
      <c r="F102" s="155"/>
      <c r="G102" s="155"/>
      <c r="H102" s="155"/>
      <c r="I102" s="155"/>
      <c r="J102" s="155"/>
      <c r="K102" s="155"/>
      <c r="L102" s="155"/>
      <c r="M102" s="155"/>
      <c r="N102" s="154"/>
    </row>
    <row r="103" spans="2:14" ht="12">
      <c r="B103" s="153"/>
      <c r="C103" s="54">
        <f t="shared" si="8"/>
        <v>722.800000000002</v>
      </c>
      <c r="D103" s="55">
        <f t="shared" si="6"/>
        <v>-66.66718010251418</v>
      </c>
      <c r="E103" s="55">
        <f t="shared" si="7"/>
        <v>-63.86379154502343</v>
      </c>
      <c r="F103" s="155"/>
      <c r="G103" s="155"/>
      <c r="H103" s="155"/>
      <c r="I103" s="155"/>
      <c r="J103" s="155"/>
      <c r="K103" s="155"/>
      <c r="L103" s="155"/>
      <c r="M103" s="155"/>
      <c r="N103" s="154"/>
    </row>
    <row r="104" spans="2:14" ht="12">
      <c r="B104" s="153"/>
      <c r="C104" s="54">
        <f t="shared" si="8"/>
        <v>723.400000000002</v>
      </c>
      <c r="D104" s="55">
        <f t="shared" si="6"/>
        <v>-68.01297978063826</v>
      </c>
      <c r="E104" s="55">
        <f t="shared" si="7"/>
        <v>-65.24093785563511</v>
      </c>
      <c r="F104" s="155"/>
      <c r="G104" s="155"/>
      <c r="H104" s="155"/>
      <c r="I104" s="155"/>
      <c r="J104" s="155"/>
      <c r="K104" s="155"/>
      <c r="L104" s="155"/>
      <c r="M104" s="155"/>
      <c r="N104" s="154"/>
    </row>
    <row r="105" spans="2:14" ht="12">
      <c r="B105" s="153"/>
      <c r="C105" s="54">
        <f t="shared" si="8"/>
        <v>724.000000000002</v>
      </c>
      <c r="D105" s="55">
        <f t="shared" si="6"/>
        <v>-69.31728891016479</v>
      </c>
      <c r="E105" s="55">
        <f t="shared" si="7"/>
        <v>-66.57376909405079</v>
      </c>
      <c r="F105" s="155"/>
      <c r="G105" s="155"/>
      <c r="H105" s="155"/>
      <c r="I105" s="155"/>
      <c r="J105" s="155"/>
      <c r="K105" s="155"/>
      <c r="L105" s="155"/>
      <c r="M105" s="155"/>
      <c r="N105" s="154"/>
    </row>
    <row r="106" spans="2:14" ht="12">
      <c r="B106" s="153"/>
      <c r="C106" s="54">
        <f t="shared" si="8"/>
        <v>724.6000000000021</v>
      </c>
      <c r="D106" s="55">
        <f t="shared" si="6"/>
        <v>-70.58256056519227</v>
      </c>
      <c r="E106" s="55">
        <f t="shared" si="7"/>
        <v>-67.8650700022473</v>
      </c>
      <c r="F106" s="155"/>
      <c r="G106" s="155"/>
      <c r="H106" s="155"/>
      <c r="I106" s="155"/>
      <c r="J106" s="155"/>
      <c r="K106" s="155"/>
      <c r="L106" s="155"/>
      <c r="M106" s="155"/>
      <c r="N106" s="154"/>
    </row>
    <row r="107" spans="2:14" ht="12">
      <c r="B107" s="153"/>
      <c r="C107" s="54">
        <f t="shared" si="8"/>
        <v>725.2000000000021</v>
      </c>
      <c r="D107" s="55">
        <f t="shared" si="6"/>
        <v>-71.81103660596717</v>
      </c>
      <c r="E107" s="55">
        <f t="shared" si="7"/>
        <v>-69.11736656682055</v>
      </c>
      <c r="F107" s="155"/>
      <c r="G107" s="155"/>
      <c r="H107" s="155"/>
      <c r="I107" s="155"/>
      <c r="J107" s="155"/>
      <c r="K107" s="155"/>
      <c r="L107" s="155"/>
      <c r="M107" s="155"/>
      <c r="N107" s="154"/>
    </row>
    <row r="108" spans="2:14" ht="12">
      <c r="B108" s="153"/>
      <c r="C108" s="54">
        <f t="shared" si="8"/>
        <v>725.8000000000021</v>
      </c>
      <c r="D108" s="55">
        <f t="shared" si="6"/>
        <v>-73.00477125032926</v>
      </c>
      <c r="E108" s="55">
        <f t="shared" si="7"/>
        <v>-70.33295757623544</v>
      </c>
      <c r="F108" s="155"/>
      <c r="G108" s="155"/>
      <c r="H108" s="155"/>
      <c r="I108" s="155"/>
      <c r="J108" s="155"/>
      <c r="K108" s="155"/>
      <c r="L108" s="155"/>
      <c r="M108" s="155"/>
      <c r="N108" s="154"/>
    </row>
    <row r="109" spans="2:14" ht="12">
      <c r="B109" s="153"/>
      <c r="C109" s="54">
        <f t="shared" si="8"/>
        <v>726.4000000000021</v>
      </c>
      <c r="D109" s="55">
        <f t="shared" si="6"/>
        <v>-74.16565144630445</v>
      </c>
      <c r="E109" s="55">
        <f t="shared" si="7"/>
        <v>-71.51394145063631</v>
      </c>
      <c r="F109" s="155"/>
      <c r="G109" s="155"/>
      <c r="H109" s="155"/>
      <c r="I109" s="155"/>
      <c r="J109" s="155"/>
      <c r="K109" s="155"/>
      <c r="L109" s="155"/>
      <c r="M109" s="155"/>
      <c r="N109" s="154"/>
    </row>
    <row r="110" spans="2:14" ht="12">
      <c r="B110" s="153"/>
      <c r="C110" s="54">
        <f t="shared" si="8"/>
        <v>727.0000000000022</v>
      </c>
      <c r="D110" s="55">
        <f t="shared" si="6"/>
        <v>-75.2954145529491</v>
      </c>
      <c r="E110" s="55">
        <f t="shared" si="7"/>
        <v>-72.66223917801624</v>
      </c>
      <c r="F110" s="155"/>
      <c r="G110" s="155"/>
      <c r="H110" s="155"/>
      <c r="I110" s="155"/>
      <c r="J110" s="155"/>
      <c r="K110" s="155"/>
      <c r="L110" s="155"/>
      <c r="M110" s="155"/>
      <c r="N110" s="154"/>
    </row>
    <row r="111" spans="2:14" ht="12">
      <c r="B111" s="153"/>
      <c r="C111" s="54">
        <f t="shared" si="8"/>
        <v>727.6000000000022</v>
      </c>
      <c r="D111" s="55">
        <f>-10*LOG(1+(ABS((C111/$D$123)-($D$123/C111))/$E$123)^(2*$D$5))</f>
        <v>-76.39566374519961</v>
      </c>
      <c r="E111" s="55">
        <f t="shared" si="7"/>
        <v>-73.77961402243186</v>
      </c>
      <c r="F111" s="155"/>
      <c r="G111" s="155"/>
      <c r="H111" s="155"/>
      <c r="I111" s="155"/>
      <c r="J111" s="155"/>
      <c r="K111" s="155"/>
      <c r="L111" s="155"/>
      <c r="M111" s="155"/>
      <c r="N111" s="154"/>
    </row>
    <row r="112" spans="2:14" ht="12">
      <c r="B112" s="153"/>
      <c r="C112" s="54">
        <f t="shared" si="8"/>
        <v>728.2000000000022</v>
      </c>
      <c r="D112" s="55">
        <f>-10*LOG(1+(ABS((C112/$D$123)-($D$123/C112))/$E$123)^(2*$D$5))</f>
        <v>-77.46788148546456</v>
      </c>
      <c r="E112" s="55">
        <f t="shared" si="7"/>
        <v>-74.86768853976092</v>
      </c>
      <c r="F112" s="155"/>
      <c r="G112" s="155"/>
      <c r="H112" s="155"/>
      <c r="I112" s="155"/>
      <c r="J112" s="155"/>
      <c r="K112" s="155"/>
      <c r="L112" s="155"/>
      <c r="M112" s="155"/>
      <c r="N112" s="154"/>
    </row>
    <row r="113" spans="2:14" ht="12">
      <c r="B113" s="153"/>
      <c r="C113" s="54">
        <f t="shared" si="8"/>
        <v>728.8000000000022</v>
      </c>
      <c r="D113" s="55">
        <f>-10*LOG(1+(ABS((C113/$D$123)-($D$123/C113))/$E$123)^(2*$D$5))</f>
        <v>-78.51344134595864</v>
      </c>
      <c r="E113" s="55">
        <f t="shared" si="7"/>
        <v>-75.92795933480113</v>
      </c>
      <c r="F113" s="155"/>
      <c r="G113" s="155"/>
      <c r="H113" s="155"/>
      <c r="I113" s="155"/>
      <c r="J113" s="155"/>
      <c r="K113" s="155"/>
      <c r="L113" s="155"/>
      <c r="M113" s="155"/>
      <c r="N113" s="154"/>
    </row>
    <row r="114" spans="2:14" ht="12">
      <c r="B114" s="153"/>
      <c r="C114" s="54">
        <f t="shared" si="8"/>
        <v>729.4000000000023</v>
      </c>
      <c r="D114" s="55">
        <f>-10*LOG(1+(ABS((C114/$D$123)-($D$123/C114))/$E$123)^(2*$D$5))</f>
        <v>-79.53361841827848</v>
      </c>
      <c r="E114" s="55">
        <f t="shared" si="7"/>
        <v>-76.9618099134606</v>
      </c>
      <c r="F114" s="155"/>
      <c r="G114" s="155"/>
      <c r="H114" s="155"/>
      <c r="I114" s="155"/>
      <c r="J114" s="155"/>
      <c r="K114" s="155"/>
      <c r="L114" s="155"/>
      <c r="M114" s="155"/>
      <c r="N114" s="154"/>
    </row>
    <row r="115" spans="2:14" ht="12">
      <c r="B115" s="153"/>
      <c r="C115" s="55">
        <f t="shared" si="8"/>
        <v>730.0000000000023</v>
      </c>
      <c r="D115" s="55">
        <f>-10*LOG(1+(ABS((C115/$D$123)-($D$123/C115))/$E$123)^(2*$D$5))</f>
        <v>-80.52959850807616</v>
      </c>
      <c r="E115" s="55">
        <f t="shared" si="7"/>
        <v>-77.970521920291</v>
      </c>
      <c r="F115" s="155"/>
      <c r="G115" s="157" t="str">
        <f>Home!$D$7&amp;", "&amp;Home!$D$8&amp;", "&amp;Home!$D$9</f>
        <v>RF Cafe Calculator Workbook, v6.0, by RF Cafe</v>
      </c>
      <c r="H115" s="155"/>
      <c r="I115" s="155"/>
      <c r="J115" s="155"/>
      <c r="K115" s="155"/>
      <c r="L115" s="155"/>
      <c r="M115" s="155"/>
      <c r="N115" s="154"/>
    </row>
    <row r="116" spans="2:14" ht="6" customHeight="1" thickBot="1">
      <c r="B116" s="158"/>
      <c r="C116" s="51"/>
      <c r="D116" s="52"/>
      <c r="E116" s="52"/>
      <c r="F116" s="159"/>
      <c r="G116" s="159"/>
      <c r="H116" s="159"/>
      <c r="I116" s="159"/>
      <c r="J116" s="159"/>
      <c r="K116" s="159"/>
      <c r="L116" s="159"/>
      <c r="M116" s="159"/>
      <c r="N116" s="160"/>
    </row>
    <row r="117" spans="3:5" ht="3" customHeight="1" thickTop="1">
      <c r="C117" s="18"/>
      <c r="D117" s="53"/>
      <c r="E117" s="53"/>
    </row>
    <row r="118" spans="3:5" ht="12.75" customHeight="1" hidden="1">
      <c r="C118" s="18"/>
      <c r="D118" s="53"/>
      <c r="E118" s="53"/>
    </row>
    <row r="119" ht="12" hidden="1"/>
    <row r="120" ht="12" hidden="1"/>
    <row r="121" spans="3:4" ht="12" hidden="1">
      <c r="C121" s="9"/>
      <c r="D121" s="9"/>
    </row>
    <row r="122" spans="3:5" ht="12" hidden="1">
      <c r="C122" s="135" t="s">
        <v>46</v>
      </c>
      <c r="D122" s="9">
        <f>10^(D8/10)-1</f>
        <v>0.0023052380778996184</v>
      </c>
      <c r="E122" s="9">
        <f>(D6-D7)/D122</f>
        <v>3470.3573902826884</v>
      </c>
    </row>
    <row r="123" spans="3:5" ht="12" hidden="1">
      <c r="C123" s="135" t="s">
        <v>37</v>
      </c>
      <c r="D123" s="9">
        <f>SQRT(D6*D7)</f>
        <v>703.9886362719217</v>
      </c>
      <c r="E123" s="9">
        <f>(D6-D7)/D123</f>
        <v>0.011363819794542722</v>
      </c>
    </row>
    <row r="124" spans="3:4" ht="12" hidden="1">
      <c r="C124" s="135" t="s">
        <v>47</v>
      </c>
      <c r="D124" s="9"/>
    </row>
    <row r="125" ht="12" hidden="1">
      <c r="D125" s="9"/>
    </row>
    <row r="126" spans="3:4" ht="12" hidden="1">
      <c r="C126" s="9"/>
      <c r="D126" s="9"/>
    </row>
    <row r="127" spans="3:4" ht="12" hidden="1">
      <c r="C127" s="9"/>
      <c r="D127" s="9"/>
    </row>
    <row r="128" spans="3:4" ht="12" hidden="1">
      <c r="C128" s="9"/>
      <c r="D128" s="9"/>
    </row>
    <row r="129" spans="3:4" ht="12" hidden="1">
      <c r="C129" s="9"/>
      <c r="D129" s="9"/>
    </row>
    <row r="130" spans="3:4" ht="12" hidden="1">
      <c r="C130" s="9"/>
      <c r="D130" s="9"/>
    </row>
    <row r="131" spans="3:4" ht="12" hidden="1">
      <c r="C131" s="9"/>
      <c r="D131" s="9"/>
    </row>
    <row r="132" spans="3:4" ht="12" hidden="1">
      <c r="C132" s="9"/>
      <c r="D132" s="9"/>
    </row>
    <row r="133" spans="3:4" ht="12" hidden="1">
      <c r="C133" s="9"/>
      <c r="D133" s="9"/>
    </row>
    <row r="134" spans="3:4" ht="12" hidden="1">
      <c r="C134" s="9"/>
      <c r="D134" s="9"/>
    </row>
    <row r="135" spans="3:4" ht="12" hidden="1">
      <c r="C135" s="9"/>
      <c r="D135" s="9"/>
    </row>
    <row r="136" spans="3:4" ht="12" hidden="1">
      <c r="C136" s="9"/>
      <c r="D136" s="9"/>
    </row>
    <row r="137" spans="3:4" ht="12" hidden="1">
      <c r="C137" s="9"/>
      <c r="D137" s="9"/>
    </row>
    <row r="138" spans="3:4" ht="12" hidden="1">
      <c r="C138" s="9"/>
      <c r="D138" s="9"/>
    </row>
    <row r="139" spans="3:4" ht="12" hidden="1">
      <c r="C139" s="9"/>
      <c r="D139" s="9"/>
    </row>
    <row r="140" spans="3:4" ht="12" hidden="1">
      <c r="C140" s="9"/>
      <c r="D140" s="9"/>
    </row>
    <row r="141" spans="3:4" ht="12" hidden="1">
      <c r="C141" s="9"/>
      <c r="D141" s="9"/>
    </row>
    <row r="142" spans="3:4" ht="12" hidden="1">
      <c r="C142" s="9"/>
      <c r="D142" s="9"/>
    </row>
    <row r="143" spans="3:4" ht="12" hidden="1">
      <c r="C143" s="9"/>
      <c r="D143" s="9"/>
    </row>
    <row r="144" spans="3:4" ht="12" hidden="1">
      <c r="C144" s="9"/>
      <c r="D144" s="9"/>
    </row>
    <row r="145" spans="3:4" ht="12" hidden="1">
      <c r="C145" s="9"/>
      <c r="D145" s="9"/>
    </row>
    <row r="146" spans="3:4" ht="12" hidden="1">
      <c r="C146" s="9"/>
      <c r="D146" s="9"/>
    </row>
    <row r="147" spans="3:4" ht="12" hidden="1">
      <c r="C147" s="9"/>
      <c r="D147" s="9"/>
    </row>
    <row r="148" spans="3:4" ht="12" hidden="1">
      <c r="C148" s="9"/>
      <c r="D148" s="9"/>
    </row>
    <row r="149" spans="3:4" ht="12" hidden="1">
      <c r="C149" s="9"/>
      <c r="D149" s="9"/>
    </row>
    <row r="150" spans="3:4" ht="12" hidden="1">
      <c r="C150" s="9"/>
      <c r="D150" s="9"/>
    </row>
    <row r="151" spans="3:4" ht="12" hidden="1">
      <c r="C151" s="9"/>
      <c r="D151" s="9"/>
    </row>
    <row r="152" spans="3:4" ht="12" hidden="1">
      <c r="C152" s="9"/>
      <c r="D152" s="9"/>
    </row>
    <row r="153" spans="3:4" ht="12" hidden="1">
      <c r="C153" s="9"/>
      <c r="D153" s="9"/>
    </row>
    <row r="154" spans="3:4" ht="12" hidden="1">
      <c r="C154" s="9"/>
      <c r="D154" s="9"/>
    </row>
    <row r="155" spans="3:4" ht="12" hidden="1">
      <c r="C155" s="9"/>
      <c r="D155" s="9"/>
    </row>
    <row r="156" spans="3:4" ht="12" hidden="1">
      <c r="C156" s="9"/>
      <c r="D156" s="9"/>
    </row>
    <row r="157" spans="3:4" ht="12" hidden="1">
      <c r="C157" s="9"/>
      <c r="D157" s="9"/>
    </row>
    <row r="158" spans="3:4" ht="12" hidden="1">
      <c r="C158" s="9"/>
      <c r="D158" s="9"/>
    </row>
    <row r="159" spans="3:4" ht="12" hidden="1">
      <c r="C159" s="9"/>
      <c r="D159" s="9"/>
    </row>
    <row r="160" spans="3:4" ht="12" hidden="1">
      <c r="C160" s="9"/>
      <c r="D160" s="9"/>
    </row>
    <row r="161" spans="3:4" ht="12" hidden="1">
      <c r="C161" s="9"/>
      <c r="D161" s="9"/>
    </row>
    <row r="162" spans="3:4" ht="12" hidden="1">
      <c r="C162" s="9"/>
      <c r="D162" s="9"/>
    </row>
    <row r="163" spans="3:4" ht="12" hidden="1">
      <c r="C163" s="9"/>
      <c r="D163" s="9"/>
    </row>
    <row r="164" spans="3:4" ht="12" hidden="1">
      <c r="C164" s="9"/>
      <c r="D164" s="9"/>
    </row>
    <row r="165" spans="3:4" ht="12" hidden="1">
      <c r="C165" s="9"/>
      <c r="D165" s="9"/>
    </row>
    <row r="166" spans="3:4" ht="12" hidden="1">
      <c r="C166" s="9"/>
      <c r="D166" s="9"/>
    </row>
    <row r="167" spans="3:4" ht="12" hidden="1">
      <c r="C167" s="9"/>
      <c r="D167" s="9"/>
    </row>
    <row r="168" spans="3:4" ht="12" hidden="1">
      <c r="C168" s="9"/>
      <c r="D168" s="9"/>
    </row>
    <row r="169" spans="3:4" ht="12" hidden="1">
      <c r="C169" s="9"/>
      <c r="D169" s="9"/>
    </row>
    <row r="170" spans="3:4" ht="12" hidden="1">
      <c r="C170" s="9"/>
      <c r="D170" s="9"/>
    </row>
    <row r="171" spans="3:4" ht="12" hidden="1">
      <c r="C171" s="9"/>
      <c r="D171" s="9"/>
    </row>
    <row r="172" spans="3:4" ht="12" hidden="1">
      <c r="C172" s="9"/>
      <c r="D172" s="9"/>
    </row>
    <row r="173" spans="3:4" ht="12" hidden="1">
      <c r="C173" s="9"/>
      <c r="D173" s="9"/>
    </row>
    <row r="174" spans="3:4" ht="12" hidden="1">
      <c r="C174" s="9"/>
      <c r="D174" s="9"/>
    </row>
    <row r="175" spans="3:4" ht="12" hidden="1">
      <c r="C175" s="9"/>
      <c r="D175" s="9"/>
    </row>
    <row r="176" spans="3:4" ht="12" hidden="1">
      <c r="C176" s="9"/>
      <c r="D176" s="9"/>
    </row>
    <row r="177" spans="3:4" ht="12" hidden="1">
      <c r="C177" s="9"/>
      <c r="D177" s="9"/>
    </row>
    <row r="178" spans="3:4" ht="12" hidden="1">
      <c r="C178" s="9"/>
      <c r="D178" s="9"/>
    </row>
    <row r="179" ht="12" hidden="1"/>
    <row r="180" ht="12" hidden="1"/>
    <row r="181" ht="12" hidden="1"/>
  </sheetData>
  <sheetProtection password="F39F" sheet="1" objects="1" scenarios="1"/>
  <mergeCells count="4">
    <mergeCell ref="C4:D4"/>
    <mergeCell ref="D13:E13"/>
    <mergeCell ref="C9:E9"/>
    <mergeCell ref="C3:E3"/>
  </mergeCells>
  <dataValidations count="7">
    <dataValidation type="custom" operator="greaterThan" showInputMessage="1" showErrorMessage="1" error="Must be &gt; 0 and &gt; Start" sqref="D10">
      <formula1>AND(D10&gt;0,D10&gt;D11)</formula1>
    </dataValidation>
    <dataValidation type="custom" operator="greaterThan" showInputMessage="1" showErrorMessage="1" error="Must be &gt; 0 and &lt; Stop" sqref="D11">
      <formula1>AND(D11&gt;0,D9&lt;D10)</formula1>
    </dataValidation>
    <dataValidation type="custom" showInputMessage="1" showErrorMessage="1" error="Must be &gt; 0 and &lt; Upper" sqref="D7">
      <formula1>AND(D7&gt;0,D7&lt;D6)</formula1>
    </dataValidation>
    <dataValidation type="custom" showInputMessage="1" showErrorMessage="1" error="Must be &gt; 0 and &gt; Lower" sqref="D6">
      <formula1>AND(D6&gt;0,D6&gt;D7)</formula1>
    </dataValidation>
    <dataValidation type="list" allowBlank="1" showInputMessage="1" showErrorMessage="1" sqref="E6">
      <formula1>$C$122:$C$124</formula1>
    </dataValidation>
    <dataValidation type="decimal" showInputMessage="1" showErrorMessage="1" error="1 &lt;= Order &lt;= 50" sqref="D5">
      <formula1>1</formula1>
      <formula2>50</formula2>
    </dataValidation>
    <dataValidation type="decimal" showInputMessage="1" showErrorMessage="1" error="0.001 &lt;= Ripple &lt;= 10" sqref="D8">
      <formula1>0.001</formula1>
      <formula2>10</formula2>
    </dataValidation>
  </dataValidations>
  <hyperlinks>
    <hyperlink ref="L3" r:id="rId1" tooltip="Click here to check for updates to this calculator" display="Click here to check for Updates"/>
    <hyperlink ref="H3" r:id="rId2" display="Click here for the online version (Butterworth)"/>
    <hyperlink ref="H4" r:id="rId3" display="Click here for the online version (Chebyshev)"/>
    <hyperlink ref="M24" location="Home!D7" tooltip="Click to return to title page with calculator list" display="Home"/>
  </hyperlinks>
  <printOptions/>
  <pageMargins left="0.5" right="0.5" top="0.5" bottom="0.5" header="0.5" footer="0.5"/>
  <pageSetup fitToHeight="1" fitToWidth="1" horizontalDpi="600" verticalDpi="600" orientation="portrait" scale="56" r:id="rId7"/>
  <drawing r:id="rId6"/>
  <legacyDrawing r:id="rId5"/>
</worksheet>
</file>

<file path=xl/worksheets/sheet4.xml><?xml version="1.0" encoding="utf-8"?>
<worksheet xmlns="http://schemas.openxmlformats.org/spreadsheetml/2006/main" xmlns:r="http://schemas.openxmlformats.org/officeDocument/2006/relationships">
  <dimension ref="B2:M26"/>
  <sheetViews>
    <sheetView showGridLines="0" showRowColHeaders="0" workbookViewId="0" topLeftCell="A1">
      <selection activeCell="D6" sqref="D6"/>
    </sheetView>
  </sheetViews>
  <sheetFormatPr defaultColWidth="9.140625" defaultRowHeight="12" zeroHeight="1"/>
  <cols>
    <col min="1" max="1" width="0.42578125" style="165" customWidth="1"/>
    <col min="2" max="2" width="0.85546875" style="165" customWidth="1"/>
    <col min="3" max="3" width="15.7109375" style="165" customWidth="1"/>
    <col min="4" max="12" width="9.140625" style="165" customWidth="1"/>
    <col min="13" max="13" width="0.85546875" style="165" customWidth="1"/>
    <col min="14" max="14" width="0.42578125" style="165" customWidth="1"/>
    <col min="15" max="16384" width="0" style="165" hidden="1" customWidth="1"/>
  </cols>
  <sheetData>
    <row r="1" ht="2.25" customHeight="1" thickBot="1"/>
    <row r="2" spans="2:13" ht="4.5" customHeight="1" thickTop="1">
      <c r="B2" s="297"/>
      <c r="C2" s="298"/>
      <c r="D2" s="298"/>
      <c r="E2" s="298"/>
      <c r="F2" s="298"/>
      <c r="G2" s="298"/>
      <c r="H2" s="298"/>
      <c r="I2" s="298"/>
      <c r="J2" s="298"/>
      <c r="K2" s="298"/>
      <c r="L2" s="298"/>
      <c r="M2" s="299"/>
    </row>
    <row r="3" spans="2:13" ht="12" customHeight="1">
      <c r="B3" s="218"/>
      <c r="C3" s="494" t="s">
        <v>204</v>
      </c>
      <c r="D3" s="494"/>
      <c r="E3" s="494"/>
      <c r="F3" s="494"/>
      <c r="G3" s="494"/>
      <c r="H3" s="494"/>
      <c r="I3" s="494"/>
      <c r="J3" s="494"/>
      <c r="K3" s="494"/>
      <c r="L3" s="494"/>
      <c r="M3" s="300"/>
    </row>
    <row r="4" spans="2:13" ht="12" customHeight="1">
      <c r="B4" s="218"/>
      <c r="C4" s="249" t="s">
        <v>131</v>
      </c>
      <c r="D4" s="301"/>
      <c r="E4" s="301"/>
      <c r="F4" s="301"/>
      <c r="G4" s="301"/>
      <c r="H4" s="301"/>
      <c r="I4" s="301"/>
      <c r="J4" s="301"/>
      <c r="K4" s="301"/>
      <c r="L4" s="248" t="s">
        <v>132</v>
      </c>
      <c r="M4" s="300"/>
    </row>
    <row r="5" spans="2:13" ht="12" customHeight="1">
      <c r="B5" s="218"/>
      <c r="C5" s="249"/>
      <c r="D5" s="301"/>
      <c r="E5" s="301"/>
      <c r="F5" s="301"/>
      <c r="G5" s="301"/>
      <c r="H5" s="301"/>
      <c r="I5" s="301"/>
      <c r="J5" s="301"/>
      <c r="K5" s="301"/>
      <c r="L5" s="248"/>
      <c r="M5" s="300"/>
    </row>
    <row r="6" spans="2:13" ht="12">
      <c r="B6" s="218"/>
      <c r="C6" s="89" t="s">
        <v>198</v>
      </c>
      <c r="D6" s="76">
        <v>0</v>
      </c>
      <c r="E6" s="5" t="s">
        <v>5</v>
      </c>
      <c r="F6" s="290"/>
      <c r="G6" s="290"/>
      <c r="H6" s="291"/>
      <c r="I6" s="291"/>
      <c r="J6" s="291"/>
      <c r="K6" s="291"/>
      <c r="L6" s="291"/>
      <c r="M6" s="296"/>
    </row>
    <row r="7" spans="2:13" ht="12">
      <c r="B7" s="218"/>
      <c r="C7" s="498" t="s">
        <v>6</v>
      </c>
      <c r="D7" s="498"/>
      <c r="E7" s="498"/>
      <c r="F7" s="498"/>
      <c r="G7" s="498"/>
      <c r="H7" s="499" t="s">
        <v>199</v>
      </c>
      <c r="I7" s="500"/>
      <c r="J7" s="500"/>
      <c r="K7" s="500"/>
      <c r="L7" s="501"/>
      <c r="M7" s="296"/>
    </row>
    <row r="8" spans="2:13" ht="12">
      <c r="B8" s="218"/>
      <c r="C8" s="292" t="s">
        <v>200</v>
      </c>
      <c r="D8" s="292" t="s">
        <v>7</v>
      </c>
      <c r="E8" s="292" t="s">
        <v>201</v>
      </c>
      <c r="F8" s="292" t="s">
        <v>206</v>
      </c>
      <c r="G8" s="292" t="s">
        <v>205</v>
      </c>
      <c r="H8" s="293" t="s">
        <v>202</v>
      </c>
      <c r="I8" s="293" t="s">
        <v>203</v>
      </c>
      <c r="J8" s="293" t="s">
        <v>201</v>
      </c>
      <c r="K8" s="293" t="s">
        <v>206</v>
      </c>
      <c r="L8" s="293" t="s">
        <v>205</v>
      </c>
      <c r="M8" s="296"/>
    </row>
    <row r="9" spans="2:13" ht="12">
      <c r="B9" s="218"/>
      <c r="C9" s="294">
        <v>1</v>
      </c>
      <c r="D9" s="295">
        <v>0</v>
      </c>
      <c r="E9" s="295">
        <v>0</v>
      </c>
      <c r="F9" s="295">
        <v>999</v>
      </c>
      <c r="G9" s="295">
        <v>999</v>
      </c>
      <c r="H9" s="428">
        <f>D6+D9</f>
        <v>0</v>
      </c>
      <c r="I9" s="428">
        <f>D9</f>
        <v>0</v>
      </c>
      <c r="J9" s="428">
        <f>E9</f>
        <v>0</v>
      </c>
      <c r="K9" s="428">
        <f>F9</f>
        <v>999</v>
      </c>
      <c r="L9" s="428">
        <f>G9</f>
        <v>999</v>
      </c>
      <c r="M9" s="296"/>
    </row>
    <row r="10" spans="2:13" ht="12">
      <c r="B10" s="218"/>
      <c r="C10" s="294">
        <v>2</v>
      </c>
      <c r="D10" s="295">
        <v>0</v>
      </c>
      <c r="E10" s="295">
        <v>0</v>
      </c>
      <c r="F10" s="295">
        <v>999</v>
      </c>
      <c r="G10" s="295">
        <v>999</v>
      </c>
      <c r="H10" s="428">
        <f aca="true" t="shared" si="0" ref="H10:H23">H9+D10</f>
        <v>0</v>
      </c>
      <c r="I10" s="428">
        <f aca="true" t="shared" si="1" ref="I10:I23">I9+D10</f>
        <v>0</v>
      </c>
      <c r="J10" s="428">
        <f aca="true" t="shared" si="2" ref="J10:J23">10*LOG(10^(J9/10)+((10^(E10/10)-1)/10^(I9/10)))</f>
        <v>0</v>
      </c>
      <c r="K10" s="428">
        <f>-20*LOG(1/10^(F10/20)+1/(10^(D10/20)*10^(K9/20)))</f>
        <v>992.9794000867206</v>
      </c>
      <c r="L10" s="428">
        <f aca="true" t="shared" si="3" ref="L10:L23">-10*LOG(1/10^(G10/10)+1/(10^(D10/10)*10^(L9/10)))</f>
        <v>995.9897000433604</v>
      </c>
      <c r="M10" s="296"/>
    </row>
    <row r="11" spans="2:13" ht="12">
      <c r="B11" s="218"/>
      <c r="C11" s="294">
        <v>3</v>
      </c>
      <c r="D11" s="295">
        <v>0</v>
      </c>
      <c r="E11" s="295">
        <v>0</v>
      </c>
      <c r="F11" s="295">
        <v>999</v>
      </c>
      <c r="G11" s="295">
        <v>999</v>
      </c>
      <c r="H11" s="428">
        <f t="shared" si="0"/>
        <v>0</v>
      </c>
      <c r="I11" s="428">
        <f t="shared" si="1"/>
        <v>0</v>
      </c>
      <c r="J11" s="428">
        <f t="shared" si="2"/>
        <v>0</v>
      </c>
      <c r="K11" s="428">
        <f aca="true" t="shared" si="4" ref="K11:K23">-20*LOG(1/10^(F11/20)+1/(10^(D11/20)*10^(K10/20)))</f>
        <v>989.457574905607</v>
      </c>
      <c r="L11" s="428">
        <f t="shared" si="3"/>
        <v>994.2287874528035</v>
      </c>
      <c r="M11" s="296"/>
    </row>
    <row r="12" spans="2:13" ht="12">
      <c r="B12" s="218"/>
      <c r="C12" s="294">
        <v>4</v>
      </c>
      <c r="D12" s="295">
        <v>0</v>
      </c>
      <c r="E12" s="295">
        <v>0</v>
      </c>
      <c r="F12" s="295">
        <v>999</v>
      </c>
      <c r="G12" s="295">
        <v>999</v>
      </c>
      <c r="H12" s="428">
        <f t="shared" si="0"/>
        <v>0</v>
      </c>
      <c r="I12" s="428">
        <f t="shared" si="1"/>
        <v>0</v>
      </c>
      <c r="J12" s="428">
        <f t="shared" si="2"/>
        <v>0</v>
      </c>
      <c r="K12" s="428">
        <f t="shared" si="4"/>
        <v>986.9588001734411</v>
      </c>
      <c r="L12" s="428">
        <f t="shared" si="3"/>
        <v>992.9794000867207</v>
      </c>
      <c r="M12" s="296"/>
    </row>
    <row r="13" spans="2:13" ht="12">
      <c r="B13" s="218"/>
      <c r="C13" s="294">
        <v>5</v>
      </c>
      <c r="D13" s="295">
        <v>0</v>
      </c>
      <c r="E13" s="295">
        <v>0</v>
      </c>
      <c r="F13" s="295">
        <v>999</v>
      </c>
      <c r="G13" s="295">
        <v>999</v>
      </c>
      <c r="H13" s="428">
        <f t="shared" si="0"/>
        <v>0</v>
      </c>
      <c r="I13" s="428">
        <f t="shared" si="1"/>
        <v>0</v>
      </c>
      <c r="J13" s="428">
        <f t="shared" si="2"/>
        <v>0</v>
      </c>
      <c r="K13" s="428">
        <f t="shared" si="4"/>
        <v>985.02059991328</v>
      </c>
      <c r="L13" s="428">
        <f t="shared" si="3"/>
        <v>992.0102999566402</v>
      </c>
      <c r="M13" s="296"/>
    </row>
    <row r="14" spans="2:13" ht="12">
      <c r="B14" s="218"/>
      <c r="C14" s="294">
        <v>6</v>
      </c>
      <c r="D14" s="295">
        <v>0</v>
      </c>
      <c r="E14" s="295">
        <v>0</v>
      </c>
      <c r="F14" s="295">
        <v>999</v>
      </c>
      <c r="G14" s="295">
        <v>999</v>
      </c>
      <c r="H14" s="428">
        <f t="shared" si="0"/>
        <v>0</v>
      </c>
      <c r="I14" s="428">
        <f t="shared" si="1"/>
        <v>0</v>
      </c>
      <c r="J14" s="428">
        <f t="shared" si="2"/>
        <v>0</v>
      </c>
      <c r="K14" s="428">
        <f t="shared" si="4"/>
        <v>983.4369749923275</v>
      </c>
      <c r="L14" s="428">
        <f t="shared" si="3"/>
        <v>991.218487496164</v>
      </c>
      <c r="M14" s="296"/>
    </row>
    <row r="15" spans="2:13" ht="12">
      <c r="B15" s="218"/>
      <c r="C15" s="294">
        <v>7</v>
      </c>
      <c r="D15" s="295">
        <v>0</v>
      </c>
      <c r="E15" s="295">
        <v>0</v>
      </c>
      <c r="F15" s="295">
        <v>999</v>
      </c>
      <c r="G15" s="295">
        <v>999</v>
      </c>
      <c r="H15" s="428">
        <f t="shared" si="0"/>
        <v>0</v>
      </c>
      <c r="I15" s="428">
        <f t="shared" si="1"/>
        <v>0</v>
      </c>
      <c r="J15" s="428">
        <f t="shared" si="2"/>
        <v>0</v>
      </c>
      <c r="K15" s="428">
        <f t="shared" si="4"/>
        <v>982.0980391997152</v>
      </c>
      <c r="L15" s="428">
        <f t="shared" si="3"/>
        <v>990.549019599858</v>
      </c>
      <c r="M15" s="296"/>
    </row>
    <row r="16" spans="2:13" ht="12">
      <c r="B16" s="218"/>
      <c r="C16" s="294">
        <v>8</v>
      </c>
      <c r="D16" s="295">
        <v>0</v>
      </c>
      <c r="E16" s="295">
        <v>0</v>
      </c>
      <c r="F16" s="295">
        <v>999</v>
      </c>
      <c r="G16" s="295">
        <v>999</v>
      </c>
      <c r="H16" s="428">
        <f t="shared" si="0"/>
        <v>0</v>
      </c>
      <c r="I16" s="428">
        <f t="shared" si="1"/>
        <v>0</v>
      </c>
      <c r="J16" s="428">
        <f t="shared" si="2"/>
        <v>0</v>
      </c>
      <c r="K16" s="428">
        <f t="shared" si="4"/>
        <v>980.9382002601616</v>
      </c>
      <c r="L16" s="428">
        <f t="shared" si="3"/>
        <v>989.9691001300812</v>
      </c>
      <c r="M16" s="296"/>
    </row>
    <row r="17" spans="2:13" ht="12">
      <c r="B17" s="218"/>
      <c r="C17" s="294">
        <v>9</v>
      </c>
      <c r="D17" s="295">
        <v>0</v>
      </c>
      <c r="E17" s="295">
        <v>0</v>
      </c>
      <c r="F17" s="295">
        <v>999</v>
      </c>
      <c r="G17" s="295">
        <v>999</v>
      </c>
      <c r="H17" s="428">
        <f t="shared" si="0"/>
        <v>0</v>
      </c>
      <c r="I17" s="428">
        <f t="shared" si="1"/>
        <v>0</v>
      </c>
      <c r="J17" s="428">
        <f t="shared" si="2"/>
        <v>0</v>
      </c>
      <c r="K17" s="428">
        <f t="shared" si="4"/>
        <v>979.9151498112142</v>
      </c>
      <c r="L17" s="428">
        <f t="shared" si="3"/>
        <v>989.4575749056075</v>
      </c>
      <c r="M17" s="296"/>
    </row>
    <row r="18" spans="2:13" ht="12">
      <c r="B18" s="218"/>
      <c r="C18" s="294">
        <v>10</v>
      </c>
      <c r="D18" s="295">
        <v>0</v>
      </c>
      <c r="E18" s="295">
        <v>0</v>
      </c>
      <c r="F18" s="295">
        <v>999</v>
      </c>
      <c r="G18" s="295">
        <v>999</v>
      </c>
      <c r="H18" s="428">
        <f t="shared" si="0"/>
        <v>0</v>
      </c>
      <c r="I18" s="428">
        <f t="shared" si="1"/>
        <v>0</v>
      </c>
      <c r="J18" s="428">
        <f t="shared" si="2"/>
        <v>0</v>
      </c>
      <c r="K18" s="428">
        <f t="shared" si="4"/>
        <v>979.0000000000007</v>
      </c>
      <c r="L18" s="428">
        <f t="shared" si="3"/>
        <v>989.0000000000008</v>
      </c>
      <c r="M18" s="296"/>
    </row>
    <row r="19" spans="2:13" ht="12">
      <c r="B19" s="218"/>
      <c r="C19" s="294">
        <v>11</v>
      </c>
      <c r="D19" s="295">
        <v>0</v>
      </c>
      <c r="E19" s="295">
        <v>0</v>
      </c>
      <c r="F19" s="295">
        <v>999</v>
      </c>
      <c r="G19" s="295">
        <v>999</v>
      </c>
      <c r="H19" s="428">
        <f t="shared" si="0"/>
        <v>0</v>
      </c>
      <c r="I19" s="428">
        <f t="shared" si="1"/>
        <v>0</v>
      </c>
      <c r="J19" s="428">
        <f t="shared" si="2"/>
        <v>0</v>
      </c>
      <c r="K19" s="428">
        <f t="shared" si="4"/>
        <v>978.1721462968362</v>
      </c>
      <c r="L19" s="428">
        <f t="shared" si="3"/>
        <v>988.5860731484184</v>
      </c>
      <c r="M19" s="296"/>
    </row>
    <row r="20" spans="2:13" ht="12">
      <c r="B20" s="218"/>
      <c r="C20" s="294">
        <v>12</v>
      </c>
      <c r="D20" s="295">
        <v>0</v>
      </c>
      <c r="E20" s="295">
        <v>0</v>
      </c>
      <c r="F20" s="295">
        <v>999</v>
      </c>
      <c r="G20" s="295">
        <v>999</v>
      </c>
      <c r="H20" s="428">
        <f t="shared" si="0"/>
        <v>0</v>
      </c>
      <c r="I20" s="428">
        <f t="shared" si="1"/>
        <v>0</v>
      </c>
      <c r="J20" s="428">
        <f t="shared" si="2"/>
        <v>0</v>
      </c>
      <c r="K20" s="428">
        <f t="shared" si="4"/>
        <v>977.4163750790483</v>
      </c>
      <c r="L20" s="428">
        <f t="shared" si="3"/>
        <v>988.2081875395245</v>
      </c>
      <c r="M20" s="296"/>
    </row>
    <row r="21" spans="2:13" ht="12">
      <c r="B21" s="218"/>
      <c r="C21" s="294">
        <v>13</v>
      </c>
      <c r="D21" s="295">
        <v>0</v>
      </c>
      <c r="E21" s="295">
        <v>0</v>
      </c>
      <c r="F21" s="295">
        <v>999</v>
      </c>
      <c r="G21" s="295">
        <v>999</v>
      </c>
      <c r="H21" s="428">
        <f t="shared" si="0"/>
        <v>0</v>
      </c>
      <c r="I21" s="428">
        <f t="shared" si="1"/>
        <v>0</v>
      </c>
      <c r="J21" s="428">
        <f t="shared" si="2"/>
        <v>0</v>
      </c>
      <c r="K21" s="428">
        <f t="shared" si="4"/>
        <v>976.7211329538641</v>
      </c>
      <c r="L21" s="428">
        <f t="shared" si="3"/>
        <v>987.8605664769325</v>
      </c>
      <c r="M21" s="296"/>
    </row>
    <row r="22" spans="2:13" ht="12">
      <c r="B22" s="218"/>
      <c r="C22" s="294">
        <v>14</v>
      </c>
      <c r="D22" s="295">
        <v>0</v>
      </c>
      <c r="E22" s="295">
        <v>0</v>
      </c>
      <c r="F22" s="295">
        <v>999</v>
      </c>
      <c r="G22" s="295">
        <v>999</v>
      </c>
      <c r="H22" s="428">
        <f t="shared" si="0"/>
        <v>0</v>
      </c>
      <c r="I22" s="428">
        <f t="shared" si="1"/>
        <v>0</v>
      </c>
      <c r="J22" s="428">
        <f t="shared" si="2"/>
        <v>0</v>
      </c>
      <c r="K22" s="428">
        <f t="shared" si="4"/>
        <v>976.0774392864362</v>
      </c>
      <c r="L22" s="428">
        <f t="shared" si="3"/>
        <v>987.5387196432184</v>
      </c>
      <c r="M22" s="296"/>
    </row>
    <row r="23" spans="2:13" ht="12">
      <c r="B23" s="218"/>
      <c r="C23" s="294">
        <v>15</v>
      </c>
      <c r="D23" s="295">
        <v>0</v>
      </c>
      <c r="E23" s="295">
        <v>0</v>
      </c>
      <c r="F23" s="295">
        <v>999</v>
      </c>
      <c r="G23" s="295">
        <v>999</v>
      </c>
      <c r="H23" s="428">
        <f t="shared" si="0"/>
        <v>0</v>
      </c>
      <c r="I23" s="428">
        <f t="shared" si="1"/>
        <v>0</v>
      </c>
      <c r="J23" s="428">
        <f t="shared" si="2"/>
        <v>0</v>
      </c>
      <c r="K23" s="428">
        <f t="shared" si="4"/>
        <v>975.4781748188873</v>
      </c>
      <c r="L23" s="428">
        <f t="shared" si="3"/>
        <v>987.239087409444</v>
      </c>
      <c r="M23" s="296"/>
    </row>
    <row r="24" spans="2:13" ht="12">
      <c r="B24" s="218"/>
      <c r="C24" s="5"/>
      <c r="D24" s="5"/>
      <c r="E24" s="5"/>
      <c r="F24" s="5"/>
      <c r="G24" s="5"/>
      <c r="H24" s="5"/>
      <c r="I24" s="5"/>
      <c r="J24" s="5"/>
      <c r="K24" s="5"/>
      <c r="L24" s="5"/>
      <c r="M24" s="296"/>
    </row>
    <row r="25" spans="2:13" ht="12">
      <c r="B25" s="218"/>
      <c r="C25" s="5"/>
      <c r="D25" s="5"/>
      <c r="E25" s="5"/>
      <c r="F25" s="5"/>
      <c r="G25" s="5"/>
      <c r="H25" s="5"/>
      <c r="I25" s="5"/>
      <c r="J25" s="5"/>
      <c r="K25" s="5"/>
      <c r="L25" s="420" t="s">
        <v>197</v>
      </c>
      <c r="M25" s="296"/>
    </row>
    <row r="26" spans="2:13" ht="4.5" customHeight="1" thickBot="1">
      <c r="B26" s="302"/>
      <c r="C26" s="303"/>
      <c r="D26" s="303"/>
      <c r="E26" s="303"/>
      <c r="F26" s="303"/>
      <c r="G26" s="303"/>
      <c r="H26" s="303"/>
      <c r="I26" s="303"/>
      <c r="J26" s="303"/>
      <c r="K26" s="303"/>
      <c r="L26" s="303"/>
      <c r="M26" s="304"/>
    </row>
    <row r="27" ht="2.25" customHeight="1" thickTop="1"/>
  </sheetData>
  <sheetProtection password="F39F" sheet="1" objects="1" scenarios="1"/>
  <mergeCells count="3">
    <mergeCell ref="C7:G7"/>
    <mergeCell ref="H7:L7"/>
    <mergeCell ref="C3:L3"/>
  </mergeCells>
  <dataValidations count="3">
    <dataValidation type="decimal" allowBlank="1" showInputMessage="1" showErrorMessage="1" sqref="D9:D23 D6">
      <formula1>-9999</formula1>
      <formula2>9999</formula2>
    </dataValidation>
    <dataValidation type="decimal" allowBlank="1" showInputMessage="1" showErrorMessage="1" sqref="E9:E23">
      <formula1>0</formula1>
      <formula2>9999</formula2>
    </dataValidation>
    <dataValidation type="decimal" allowBlank="1" showInputMessage="1" showErrorMessage="1" sqref="F9:G23">
      <formula1>-9999</formula1>
      <formula2>9999</formula2>
    </dataValidation>
  </dataValidations>
  <hyperlinks>
    <hyperlink ref="L4" r:id="rId1" tooltip="Click here to check for updates to this calculator" display="Click here to check for Updates"/>
    <hyperlink ref="C4" r:id="rId2" display="Click here for the online version"/>
    <hyperlink ref="L25" location="Home!D7" tooltip="Click to return to title page with calculator list" display="Home"/>
  </hyperlinks>
  <printOptions/>
  <pageMargins left="0.75" right="0.75" top="1" bottom="1" header="0.5" footer="0.5"/>
  <pageSetup horizontalDpi="600" verticalDpi="600" orientation="portrait" r:id="rId5"/>
  <legacyDrawing r:id="rId4"/>
</worksheet>
</file>

<file path=xl/worksheets/sheet5.xml><?xml version="1.0" encoding="utf-8"?>
<worksheet xmlns="http://schemas.openxmlformats.org/spreadsheetml/2006/main" xmlns:r="http://schemas.openxmlformats.org/officeDocument/2006/relationships">
  <sheetPr codeName="Sheet15">
    <pageSetUpPr fitToPage="1"/>
  </sheetPr>
  <dimension ref="B2:N33"/>
  <sheetViews>
    <sheetView showGridLines="0" showRowColHeaders="0" workbookViewId="0" topLeftCell="A1">
      <selection activeCell="D18" sqref="D18"/>
    </sheetView>
  </sheetViews>
  <sheetFormatPr defaultColWidth="9.140625" defaultRowHeight="12" customHeight="1" zeroHeight="1"/>
  <cols>
    <col min="1" max="1" width="0.5625" style="135" customWidth="1"/>
    <col min="2" max="2" width="1.1484375" style="135" customWidth="1"/>
    <col min="3" max="3" width="10.7109375" style="135" customWidth="1"/>
    <col min="4" max="4" width="11.140625" style="135" bestFit="1" customWidth="1"/>
    <col min="5" max="6" width="3.7109375" style="135" customWidth="1"/>
    <col min="7" max="7" width="9.7109375" style="135" customWidth="1"/>
    <col min="8" max="8" width="9.140625" style="135" customWidth="1"/>
    <col min="9" max="9" width="11.140625" style="135" customWidth="1"/>
    <col min="10" max="10" width="3.7109375" style="135" customWidth="1"/>
    <col min="11" max="11" width="1.1484375" style="135" customWidth="1"/>
    <col min="12" max="12" width="0.5625" style="135" customWidth="1"/>
    <col min="13" max="16384" width="0" style="135" hidden="1" customWidth="1"/>
  </cols>
  <sheetData>
    <row r="1" ht="3" customHeight="1" thickBot="1"/>
    <row r="2" spans="2:11" ht="6" customHeight="1" thickTop="1">
      <c r="B2" s="136"/>
      <c r="C2" s="137"/>
      <c r="D2" s="137"/>
      <c r="E2" s="137"/>
      <c r="F2" s="137"/>
      <c r="G2" s="137"/>
      <c r="H2" s="137"/>
      <c r="I2" s="137"/>
      <c r="J2" s="137"/>
      <c r="K2" s="138"/>
    </row>
    <row r="3" spans="2:14" ht="12">
      <c r="B3" s="139"/>
      <c r="C3" s="481" t="s">
        <v>173</v>
      </c>
      <c r="D3" s="481"/>
      <c r="E3" s="481"/>
      <c r="F3" s="481"/>
      <c r="G3" s="481"/>
      <c r="H3" s="481"/>
      <c r="I3" s="481"/>
      <c r="J3" s="481"/>
      <c r="K3" s="285"/>
      <c r="L3" s="280"/>
      <c r="M3" s="280"/>
      <c r="N3" s="280"/>
    </row>
    <row r="4" spans="2:14" ht="12.75">
      <c r="B4" s="139"/>
      <c r="C4" s="249" t="s">
        <v>131</v>
      </c>
      <c r="E4" s="167"/>
      <c r="F4" s="167"/>
      <c r="G4" s="167"/>
      <c r="I4" s="134"/>
      <c r="J4" s="248" t="s">
        <v>132</v>
      </c>
      <c r="K4" s="285"/>
      <c r="L4" s="280"/>
      <c r="M4" s="280"/>
      <c r="N4" s="280"/>
    </row>
    <row r="5" spans="2:11" ht="12">
      <c r="B5" s="139"/>
      <c r="C5" s="141"/>
      <c r="D5" s="141"/>
      <c r="E5" s="141"/>
      <c r="F5" s="141"/>
      <c r="G5" s="141"/>
      <c r="H5" s="141"/>
      <c r="I5" s="141"/>
      <c r="J5" s="141"/>
      <c r="K5" s="140"/>
    </row>
    <row r="6" spans="2:11" ht="12.75" thickBot="1">
      <c r="B6" s="139"/>
      <c r="C6" s="482" t="s">
        <v>174</v>
      </c>
      <c r="D6" s="482"/>
      <c r="E6" s="482"/>
      <c r="F6" s="278"/>
      <c r="G6" s="9"/>
      <c r="H6" s="281" t="s">
        <v>175</v>
      </c>
      <c r="I6" s="281"/>
      <c r="J6" s="282"/>
      <c r="K6" s="140"/>
    </row>
    <row r="7" spans="2:11" ht="12">
      <c r="B7" s="139"/>
      <c r="C7" s="278"/>
      <c r="D7" s="278"/>
      <c r="E7" s="278"/>
      <c r="F7" s="278"/>
      <c r="G7" s="9"/>
      <c r="H7" s="278"/>
      <c r="I7" s="278"/>
      <c r="J7" s="9"/>
      <c r="K7" s="140"/>
    </row>
    <row r="8" spans="2:11" ht="12">
      <c r="B8" s="139"/>
      <c r="C8" s="278"/>
      <c r="D8" s="278"/>
      <c r="E8" s="278"/>
      <c r="F8" s="278"/>
      <c r="G8" s="9"/>
      <c r="H8" s="278"/>
      <c r="I8" s="278"/>
      <c r="J8" s="9"/>
      <c r="K8" s="140"/>
    </row>
    <row r="9" spans="2:11" ht="12">
      <c r="B9" s="139"/>
      <c r="C9" s="278"/>
      <c r="D9" s="278"/>
      <c r="E9" s="278"/>
      <c r="F9" s="278"/>
      <c r="G9" s="9"/>
      <c r="H9" s="278"/>
      <c r="I9" s="278"/>
      <c r="J9" s="9"/>
      <c r="K9" s="140"/>
    </row>
    <row r="10" spans="2:11" ht="12">
      <c r="B10" s="139"/>
      <c r="C10" s="278"/>
      <c r="D10" s="278"/>
      <c r="E10" s="278"/>
      <c r="F10" s="278"/>
      <c r="G10" s="9"/>
      <c r="H10" s="278"/>
      <c r="I10" s="278"/>
      <c r="J10" s="9"/>
      <c r="K10" s="140"/>
    </row>
    <row r="11" spans="2:11" ht="12">
      <c r="B11" s="139"/>
      <c r="C11" s="9"/>
      <c r="D11" s="9"/>
      <c r="E11" s="9"/>
      <c r="F11" s="9"/>
      <c r="G11" s="9"/>
      <c r="H11" s="89" t="s">
        <v>176</v>
      </c>
      <c r="I11" s="84">
        <v>0.001</v>
      </c>
      <c r="J11" s="84" t="s">
        <v>72</v>
      </c>
      <c r="K11" s="140"/>
    </row>
    <row r="12" spans="2:11" ht="12">
      <c r="B12" s="139"/>
      <c r="C12" s="89" t="s">
        <v>177</v>
      </c>
      <c r="D12" s="405">
        <v>0.25</v>
      </c>
      <c r="E12" s="84" t="s">
        <v>72</v>
      </c>
      <c r="F12" s="155"/>
      <c r="G12" s="9"/>
      <c r="H12" s="89" t="s">
        <v>178</v>
      </c>
      <c r="I12" s="84">
        <v>1</v>
      </c>
      <c r="J12" s="9" t="str">
        <f>J11</f>
        <v>in</v>
      </c>
      <c r="K12" s="140"/>
    </row>
    <row r="13" spans="2:11" ht="12">
      <c r="B13" s="139"/>
      <c r="C13" s="89" t="s">
        <v>179</v>
      </c>
      <c r="D13" s="84">
        <v>0.5</v>
      </c>
      <c r="E13" s="9" t="str">
        <f>E12</f>
        <v>in</v>
      </c>
      <c r="F13" s="155"/>
      <c r="G13" s="286"/>
      <c r="H13" s="89" t="s">
        <v>192</v>
      </c>
      <c r="I13" s="7">
        <f>(0.002*(I12*I28)*(LN(4*I12/I11)-0.75)*H28)</f>
        <v>38.3237721717183</v>
      </c>
      <c r="J13" s="84" t="s">
        <v>190</v>
      </c>
      <c r="K13" s="140"/>
    </row>
    <row r="14" spans="2:11" ht="12">
      <c r="B14" s="139"/>
      <c r="C14" s="89" t="s">
        <v>180</v>
      </c>
      <c r="D14" s="84">
        <v>4.6</v>
      </c>
      <c r="E14" s="9"/>
      <c r="F14" s="155"/>
      <c r="G14" s="287"/>
      <c r="H14" s="89" t="s">
        <v>193</v>
      </c>
      <c r="I14" s="7">
        <f>(0.002*(I12*I28)*(LN(4*I12/I11)-1)*H28)</f>
        <v>37.05377217171831</v>
      </c>
      <c r="J14" s="9" t="str">
        <f>J13</f>
        <v>nH</v>
      </c>
      <c r="K14" s="140"/>
    </row>
    <row r="15" spans="2:11" ht="12">
      <c r="B15" s="139"/>
      <c r="C15" s="89" t="s">
        <v>181</v>
      </c>
      <c r="D15" s="7">
        <f>((D12/D28)^2*D14^2)/(18*(D12/D28)+40*(D13/D28))*C28</f>
        <v>53.979591836734684</v>
      </c>
      <c r="E15" s="161" t="s">
        <v>190</v>
      </c>
      <c r="F15" s="155"/>
      <c r="G15" s="9"/>
      <c r="H15" s="9"/>
      <c r="I15" s="9"/>
      <c r="J15" s="9"/>
      <c r="K15" s="140"/>
    </row>
    <row r="16" spans="2:11" ht="12">
      <c r="B16" s="139"/>
      <c r="C16" s="7"/>
      <c r="D16" s="9"/>
      <c r="E16" s="9"/>
      <c r="F16" s="155"/>
      <c r="G16"/>
      <c r="H16"/>
      <c r="I16"/>
      <c r="J16"/>
      <c r="K16" s="140"/>
    </row>
    <row r="17" spans="2:11" ht="12">
      <c r="B17" s="139"/>
      <c r="C17" s="89" t="s">
        <v>181</v>
      </c>
      <c r="D17" s="84">
        <v>54</v>
      </c>
      <c r="E17" s="84" t="s">
        <v>190</v>
      </c>
      <c r="F17" s="155"/>
      <c r="G17"/>
      <c r="H17" s="283" t="s">
        <v>184</v>
      </c>
      <c r="I17"/>
      <c r="J17"/>
      <c r="K17" s="140"/>
    </row>
    <row r="18" spans="2:11" ht="12">
      <c r="B18" s="139"/>
      <c r="C18" s="89" t="s">
        <v>183</v>
      </c>
      <c r="D18" s="84">
        <v>0.5</v>
      </c>
      <c r="E18" s="84" t="s">
        <v>72</v>
      </c>
      <c r="F18" s="9"/>
      <c r="G18"/>
      <c r="H18" s="21"/>
      <c r="I18"/>
      <c r="J18"/>
      <c r="K18" s="140"/>
    </row>
    <row r="19" spans="2:11" ht="12">
      <c r="B19" s="139"/>
      <c r="C19" s="89" t="s">
        <v>158</v>
      </c>
      <c r="D19" s="84">
        <f>D13</f>
        <v>0.5</v>
      </c>
      <c r="E19" s="9" t="str">
        <f>E18</f>
        <v>in</v>
      </c>
      <c r="F19" s="9"/>
      <c r="G19"/>
      <c r="H19"/>
      <c r="I19"/>
      <c r="J19"/>
      <c r="K19" s="140"/>
    </row>
    <row r="20" spans="2:11" ht="12">
      <c r="B20" s="139"/>
      <c r="C20" s="89" t="s">
        <v>180</v>
      </c>
      <c r="D20" s="9">
        <f>(18*(D18/D32)+40*(D19/D32))*SQRT(2*D17/C32)/(2*(D18/D32)*SQRT(9*(D18/D32)+20*(D19/D32)))</f>
        <v>2.5027984337537053</v>
      </c>
      <c r="E20" s="9"/>
      <c r="F20" s="9"/>
      <c r="G20"/>
      <c r="H20"/>
      <c r="I20"/>
      <c r="J20"/>
      <c r="K20" s="140"/>
    </row>
    <row r="21" spans="2:11" ht="12">
      <c r="B21" s="139"/>
      <c r="C21" s="9"/>
      <c r="D21" s="9"/>
      <c r="E21" s="9"/>
      <c r="F21" s="9"/>
      <c r="G21"/>
      <c r="H21"/>
      <c r="I21"/>
      <c r="J21"/>
      <c r="K21" s="140"/>
    </row>
    <row r="22" spans="2:11" ht="12">
      <c r="B22" s="139"/>
      <c r="C22" s="157" t="str">
        <f>Home!$D$7&amp;", "&amp;Home!$D$8&amp;", "&amp;Home!$D$9</f>
        <v>RF Cafe Calculator Workbook, v6.0, by RF Cafe</v>
      </c>
      <c r="D22" s="141"/>
      <c r="E22" s="141"/>
      <c r="F22" s="141"/>
      <c r="G22" s="141"/>
      <c r="H22" s="141"/>
      <c r="I22" s="141"/>
      <c r="J22" s="420" t="s">
        <v>197</v>
      </c>
      <c r="K22" s="140"/>
    </row>
    <row r="23" spans="2:11" ht="6" customHeight="1" thickBot="1">
      <c r="B23" s="142"/>
      <c r="C23" s="143"/>
      <c r="D23" s="143"/>
      <c r="E23" s="143"/>
      <c r="F23" s="143"/>
      <c r="G23" s="143"/>
      <c r="H23" s="143"/>
      <c r="I23" s="143"/>
      <c r="J23" s="143"/>
      <c r="K23" s="144"/>
    </row>
    <row r="24" ht="3" customHeight="1" thickTop="1"/>
    <row r="25" ht="12" customHeight="1" hidden="1"/>
    <row r="26" spans="4:9" ht="12" customHeight="1" hidden="1">
      <c r="D26" s="288" t="s">
        <v>194</v>
      </c>
      <c r="I26" s="289" t="s">
        <v>175</v>
      </c>
    </row>
    <row r="27" spans="3:9" ht="12" customHeight="1" hidden="1">
      <c r="C27" s="135" t="s">
        <v>186</v>
      </c>
      <c r="D27" s="284" t="s">
        <v>196</v>
      </c>
      <c r="E27" s="135" t="s">
        <v>72</v>
      </c>
      <c r="H27" s="135" t="s">
        <v>186</v>
      </c>
      <c r="I27" s="284" t="s">
        <v>196</v>
      </c>
    </row>
    <row r="28" spans="3:9" ht="12" customHeight="1" hidden="1">
      <c r="C28" s="135">
        <f>IF(E15="uH",1,IF(E15="mH",0.001,IF(E15="nH",1000,0.000001)))</f>
        <v>1000</v>
      </c>
      <c r="D28" s="135">
        <f>IF(E12="in",1,25.4)</f>
        <v>1</v>
      </c>
      <c r="E28" s="135" t="s">
        <v>69</v>
      </c>
      <c r="H28" s="135">
        <f>IF(J13="uH",1,IF(J13="mH",0.001,IF(J13="nH",1000,0.000001)))</f>
        <v>1000</v>
      </c>
      <c r="I28" s="135">
        <f>IF(J11="in",2.54,0.1)</f>
        <v>2.54</v>
      </c>
    </row>
    <row r="29" ht="12" customHeight="1" hidden="1"/>
    <row r="30" spans="4:9" ht="12" customHeight="1" hidden="1">
      <c r="D30" s="288" t="s">
        <v>195</v>
      </c>
      <c r="G30" s="135" t="s">
        <v>185</v>
      </c>
      <c r="I30" s="289"/>
    </row>
    <row r="31" spans="3:7" ht="12" hidden="1">
      <c r="C31" s="135" t="s">
        <v>191</v>
      </c>
      <c r="D31" s="284" t="s">
        <v>187</v>
      </c>
      <c r="E31" s="135" t="s">
        <v>72</v>
      </c>
      <c r="G31" s="135" t="s">
        <v>188</v>
      </c>
    </row>
    <row r="32" spans="3:8" ht="12" hidden="1">
      <c r="C32" s="135">
        <f>IF(E17="uH",1,IF(E17="mH",0.001,IF(E17="nH",1000,0.000001)))</f>
        <v>1000</v>
      </c>
      <c r="D32" s="135">
        <f>IF(E18="in",1,25.4)</f>
        <v>1</v>
      </c>
      <c r="E32" s="135" t="s">
        <v>69</v>
      </c>
      <c r="G32" s="135" t="s">
        <v>182</v>
      </c>
      <c r="H32" s="284"/>
    </row>
    <row r="33" ht="12" hidden="1">
      <c r="G33" s="135" t="s">
        <v>190</v>
      </c>
    </row>
  </sheetData>
  <sheetProtection password="F39F" sheet="1" objects="1" scenarios="1"/>
  <mergeCells count="2">
    <mergeCell ref="C3:J3"/>
    <mergeCell ref="C6:E6"/>
  </mergeCells>
  <dataValidations count="5">
    <dataValidation type="list" showInputMessage="1" showErrorMessage="1" sqref="E12">
      <formula1>$E$31:$E$32</formula1>
    </dataValidation>
    <dataValidation type="list" showInputMessage="1" showErrorMessage="1" sqref="E17">
      <formula1>$G$30:$G$33</formula1>
    </dataValidation>
    <dataValidation type="decimal" operator="greaterThan" allowBlank="1" showInputMessage="1" showErrorMessage="1" sqref="D12:D13">
      <formula1>0</formula1>
    </dataValidation>
    <dataValidation type="list" allowBlank="1" showInputMessage="1" showErrorMessage="1" sqref="E15 J13">
      <formula1>$G$30:$G$33</formula1>
    </dataValidation>
    <dataValidation type="list" allowBlank="1" showInputMessage="1" showErrorMessage="1" sqref="J11 E18">
      <formula1>$E$31:$E$32</formula1>
    </dataValidation>
  </dataValidations>
  <hyperlinks>
    <hyperlink ref="H17" r:id="rId1" tooltip="Click here for a table of wire diameters on the RF Cafe website" display="Wire diameter on RF Cafe"/>
    <hyperlink ref="C4" r:id="rId2" display="Click here for the online version"/>
    <hyperlink ref="J4" r:id="rId3" tooltip="Click here to check for updates to this calculator" display="Click here to check for Updates"/>
    <hyperlink ref="J22" location="Home!D7" tooltip="Click to return to title page with calculator list" display="Home"/>
  </hyperlinks>
  <printOptions/>
  <pageMargins left="0.5" right="0.5" top="0.5" bottom="0.5" header="0.5" footer="0.5"/>
  <pageSetup fitToHeight="1" fitToWidth="1" horizontalDpi="600" verticalDpi="600" orientation="portrait" r:id="rId5"/>
  <drawing r:id="rId4"/>
</worksheet>
</file>

<file path=xl/worksheets/sheet6.xml><?xml version="1.0" encoding="utf-8"?>
<worksheet xmlns="http://schemas.openxmlformats.org/spreadsheetml/2006/main" xmlns:r="http://schemas.openxmlformats.org/officeDocument/2006/relationships">
  <dimension ref="B2:N17"/>
  <sheetViews>
    <sheetView showGridLines="0" showRowColHeaders="0" workbookViewId="0" topLeftCell="A1">
      <selection activeCell="C7" sqref="C7"/>
    </sheetView>
  </sheetViews>
  <sheetFormatPr defaultColWidth="9.140625" defaultRowHeight="12" customHeight="1" zeroHeight="1"/>
  <cols>
    <col min="1" max="1" width="0.42578125" style="328" customWidth="1"/>
    <col min="2" max="2" width="0.85546875" style="328" customWidth="1"/>
    <col min="3" max="3" width="12.7109375" style="328" customWidth="1"/>
    <col min="4" max="4" width="5.28125" style="328" customWidth="1"/>
    <col min="5" max="5" width="1.7109375" style="328" customWidth="1"/>
    <col min="6" max="6" width="12.7109375" style="328" customWidth="1"/>
    <col min="7" max="7" width="5.28125" style="328" customWidth="1"/>
    <col min="8" max="8" width="1.7109375" style="328" customWidth="1"/>
    <col min="9" max="9" width="12.7109375" style="328" customWidth="1"/>
    <col min="10" max="10" width="5.28125" style="328" customWidth="1"/>
    <col min="11" max="11" width="1.7109375" style="328" customWidth="1"/>
    <col min="12" max="12" width="12.7109375" style="328" customWidth="1"/>
    <col min="13" max="13" width="5.28125" style="328" customWidth="1"/>
    <col min="14" max="14" width="0.85546875" style="328" customWidth="1"/>
    <col min="15" max="15" width="0.42578125" style="328" customWidth="1"/>
    <col min="16" max="16384" width="0" style="328" hidden="1" customWidth="1"/>
  </cols>
  <sheetData>
    <row r="1" ht="2.25" customHeight="1" thickBot="1"/>
    <row r="2" spans="2:14" ht="4.5" customHeight="1" thickTop="1">
      <c r="B2" s="329"/>
      <c r="C2" s="330"/>
      <c r="D2" s="330"/>
      <c r="E2" s="330"/>
      <c r="F2" s="330"/>
      <c r="G2" s="330"/>
      <c r="H2" s="330"/>
      <c r="I2" s="330"/>
      <c r="J2" s="330"/>
      <c r="K2" s="330"/>
      <c r="L2" s="330"/>
      <c r="M2" s="330"/>
      <c r="N2" s="331"/>
    </row>
    <row r="3" spans="2:14" ht="12">
      <c r="B3" s="332"/>
      <c r="C3" s="484" t="s">
        <v>221</v>
      </c>
      <c r="D3" s="484"/>
      <c r="E3" s="484"/>
      <c r="F3" s="484"/>
      <c r="G3" s="484"/>
      <c r="H3" s="484"/>
      <c r="I3" s="484"/>
      <c r="J3" s="484"/>
      <c r="K3" s="484"/>
      <c r="L3" s="484"/>
      <c r="M3" s="484"/>
      <c r="N3" s="333"/>
    </row>
    <row r="4" spans="2:14" ht="12">
      <c r="B4" s="332"/>
      <c r="C4" s="338" t="s">
        <v>131</v>
      </c>
      <c r="D4" s="334"/>
      <c r="E4" s="334"/>
      <c r="F4" s="334"/>
      <c r="G4" s="334"/>
      <c r="H4" s="334"/>
      <c r="I4" s="334"/>
      <c r="J4" s="334"/>
      <c r="K4" s="334"/>
      <c r="L4" s="334"/>
      <c r="M4" s="339" t="s">
        <v>132</v>
      </c>
      <c r="N4" s="333"/>
    </row>
    <row r="5" spans="2:14" ht="12">
      <c r="B5" s="332"/>
      <c r="C5" s="305"/>
      <c r="D5" s="334"/>
      <c r="E5" s="334"/>
      <c r="F5" s="305"/>
      <c r="G5" s="334"/>
      <c r="H5" s="334"/>
      <c r="I5" s="334"/>
      <c r="J5" s="334"/>
      <c r="K5" s="334"/>
      <c r="L5" s="334"/>
      <c r="M5" s="334"/>
      <c r="N5" s="333"/>
    </row>
    <row r="6" spans="2:14" ht="12">
      <c r="B6" s="332"/>
      <c r="C6" s="483" t="s">
        <v>222</v>
      </c>
      <c r="D6" s="483"/>
      <c r="E6" s="305"/>
      <c r="F6" s="483" t="s">
        <v>223</v>
      </c>
      <c r="G6" s="483"/>
      <c r="H6" s="305"/>
      <c r="I6" s="483" t="s">
        <v>224</v>
      </c>
      <c r="J6" s="483"/>
      <c r="K6" s="305"/>
      <c r="L6" s="483" t="s">
        <v>230</v>
      </c>
      <c r="M6" s="483"/>
      <c r="N6" s="333"/>
    </row>
    <row r="7" spans="2:14" ht="12">
      <c r="B7" s="332"/>
      <c r="C7" s="341">
        <v>0</v>
      </c>
      <c r="D7" s="334" t="s">
        <v>5</v>
      </c>
      <c r="E7" s="334"/>
      <c r="F7" s="341">
        <v>1</v>
      </c>
      <c r="G7" s="334" t="s">
        <v>0</v>
      </c>
      <c r="H7" s="334"/>
      <c r="I7" s="342">
        <f>C7-F7+L7</f>
        <v>-4.01051706594727</v>
      </c>
      <c r="J7" s="334" t="s">
        <v>5</v>
      </c>
      <c r="K7" s="334"/>
      <c r="L7" s="342">
        <f>10*LOG(1-10^(C12/10))+10*LOG(1-10^((C12-I12)/10))</f>
        <v>-3.01051706594727</v>
      </c>
      <c r="M7" s="334" t="s">
        <v>0</v>
      </c>
      <c r="N7" s="333"/>
    </row>
    <row r="8" spans="2:14" ht="12">
      <c r="B8" s="332"/>
      <c r="C8" s="340"/>
      <c r="D8" s="334"/>
      <c r="E8" s="334"/>
      <c r="F8" s="340"/>
      <c r="G8" s="334"/>
      <c r="H8" s="334"/>
      <c r="I8" s="334"/>
      <c r="J8" s="334"/>
      <c r="K8" s="334"/>
      <c r="L8" s="334"/>
      <c r="M8" s="334"/>
      <c r="N8" s="333"/>
    </row>
    <row r="9" spans="2:14" ht="12" customHeight="1">
      <c r="B9" s="332"/>
      <c r="C9" s="334"/>
      <c r="D9" s="334"/>
      <c r="E9" s="334"/>
      <c r="F9" s="334"/>
      <c r="G9" s="334"/>
      <c r="H9" s="334"/>
      <c r="I9" s="334"/>
      <c r="J9" s="334"/>
      <c r="K9" s="334"/>
      <c r="L9" s="334"/>
      <c r="M9" s="334"/>
      <c r="N9" s="333"/>
    </row>
    <row r="10" spans="2:14" ht="12">
      <c r="B10" s="332"/>
      <c r="C10" s="334"/>
      <c r="D10" s="334"/>
      <c r="E10" s="334"/>
      <c r="F10" s="334"/>
      <c r="G10" s="334"/>
      <c r="H10" s="334"/>
      <c r="I10" s="334"/>
      <c r="J10" s="334"/>
      <c r="K10" s="334"/>
      <c r="L10" s="334"/>
      <c r="M10" s="334"/>
      <c r="N10" s="333"/>
    </row>
    <row r="11" spans="2:14" ht="12">
      <c r="B11" s="332"/>
      <c r="C11" s="483" t="s">
        <v>225</v>
      </c>
      <c r="D11" s="483"/>
      <c r="E11" s="305"/>
      <c r="F11" s="334"/>
      <c r="G11" s="334"/>
      <c r="H11" s="334"/>
      <c r="I11" s="483" t="s">
        <v>226</v>
      </c>
      <c r="J11" s="483"/>
      <c r="K11" s="155"/>
      <c r="L11" s="483" t="s">
        <v>227</v>
      </c>
      <c r="M11" s="483"/>
      <c r="N11" s="333"/>
    </row>
    <row r="12" spans="2:14" ht="12">
      <c r="B12" s="332"/>
      <c r="C12" s="341">
        <v>-3.0103</v>
      </c>
      <c r="D12" s="334" t="s">
        <v>0</v>
      </c>
      <c r="E12" s="334"/>
      <c r="F12" s="334"/>
      <c r="G12" s="334"/>
      <c r="H12" s="334"/>
      <c r="I12" s="341">
        <v>40</v>
      </c>
      <c r="J12" s="334" t="s">
        <v>0</v>
      </c>
      <c r="K12" s="155"/>
      <c r="L12" s="342">
        <f>I12-C12</f>
        <v>43.0103</v>
      </c>
      <c r="M12" s="334" t="s">
        <v>0</v>
      </c>
      <c r="N12" s="333"/>
    </row>
    <row r="13" spans="2:14" ht="12" customHeight="1">
      <c r="B13" s="332"/>
      <c r="C13" s="334"/>
      <c r="D13" s="334"/>
      <c r="E13" s="334"/>
      <c r="F13" s="334"/>
      <c r="G13" s="334"/>
      <c r="H13" s="334"/>
      <c r="I13" s="334"/>
      <c r="J13" s="334"/>
      <c r="K13" s="334"/>
      <c r="L13" s="334"/>
      <c r="M13" s="334"/>
      <c r="N13" s="333"/>
    </row>
    <row r="14" spans="2:14" ht="12">
      <c r="B14" s="332"/>
      <c r="C14" s="483" t="s">
        <v>228</v>
      </c>
      <c r="D14" s="483"/>
      <c r="E14" s="305"/>
      <c r="F14" s="334"/>
      <c r="G14" s="334"/>
      <c r="H14" s="334"/>
      <c r="I14" s="483" t="s">
        <v>229</v>
      </c>
      <c r="J14" s="483"/>
      <c r="K14" s="305"/>
      <c r="L14" s="334"/>
      <c r="M14" s="334"/>
      <c r="N14" s="333"/>
    </row>
    <row r="15" spans="2:14" ht="12">
      <c r="B15" s="332"/>
      <c r="C15" s="342">
        <f>C7+C12</f>
        <v>-3.0103</v>
      </c>
      <c r="D15" s="334" t="s">
        <v>5</v>
      </c>
      <c r="E15" s="334"/>
      <c r="F15" s="334"/>
      <c r="G15" s="334"/>
      <c r="H15" s="334"/>
      <c r="I15" s="342">
        <f>C15-I12</f>
        <v>-43.0103</v>
      </c>
      <c r="J15" s="334" t="s">
        <v>5</v>
      </c>
      <c r="K15" s="334"/>
      <c r="L15" s="334"/>
      <c r="M15" s="334"/>
      <c r="N15" s="333"/>
    </row>
    <row r="16" spans="2:14" ht="12">
      <c r="B16" s="332"/>
      <c r="C16" s="334"/>
      <c r="D16" s="334"/>
      <c r="E16" s="334"/>
      <c r="F16" s="334"/>
      <c r="G16" s="334"/>
      <c r="H16" s="334"/>
      <c r="I16" s="334"/>
      <c r="J16" s="334"/>
      <c r="K16" s="334"/>
      <c r="L16" s="334"/>
      <c r="M16" s="420" t="s">
        <v>197</v>
      </c>
      <c r="N16" s="333"/>
    </row>
    <row r="17" spans="2:14" ht="4.5" customHeight="1" thickBot="1">
      <c r="B17" s="335"/>
      <c r="C17" s="336"/>
      <c r="D17" s="336"/>
      <c r="E17" s="336"/>
      <c r="F17" s="336"/>
      <c r="G17" s="336"/>
      <c r="H17" s="336"/>
      <c r="I17" s="336"/>
      <c r="J17" s="336"/>
      <c r="K17" s="336"/>
      <c r="L17" s="336"/>
      <c r="M17" s="336"/>
      <c r="N17" s="337"/>
    </row>
    <row r="18" ht="2.25" customHeight="1" thickTop="1"/>
    <row r="19" ht="12" hidden="1"/>
  </sheetData>
  <sheetProtection password="F39F" sheet="1" objects="1" scenarios="1"/>
  <mergeCells count="10">
    <mergeCell ref="C3:M3"/>
    <mergeCell ref="C6:D6"/>
    <mergeCell ref="F6:G6"/>
    <mergeCell ref="I6:J6"/>
    <mergeCell ref="L6:M6"/>
    <mergeCell ref="C11:D11"/>
    <mergeCell ref="I11:J11"/>
    <mergeCell ref="L11:M11"/>
    <mergeCell ref="C14:D14"/>
    <mergeCell ref="I14:J14"/>
  </mergeCells>
  <conditionalFormatting sqref="F7:F8">
    <cfRule type="cellIs" priority="1" dxfId="0" operator="greaterThanOrEqual" stopIfTrue="1">
      <formula>0</formula>
    </cfRule>
  </conditionalFormatting>
  <dataValidations count="3">
    <dataValidation type="decimal" operator="greaterThanOrEqual" allowBlank="1" showInputMessage="1" showErrorMessage="1" sqref="F7:F8">
      <formula1>0</formula1>
    </dataValidation>
    <dataValidation type="decimal" operator="lessThan" allowBlank="1" showInputMessage="1" showErrorMessage="1" sqref="C12">
      <formula1>0</formula1>
    </dataValidation>
    <dataValidation type="decimal" operator="greaterThan" allowBlank="1" showInputMessage="1" showErrorMessage="1" sqref="I12">
      <formula1>0</formula1>
    </dataValidation>
  </dataValidations>
  <hyperlinks>
    <hyperlink ref="M16" location="Home!D7" tooltip="Click to return to title page with calculator list" display="Home"/>
    <hyperlink ref="M4" r:id="rId1" tooltip="Click here to check for updates to this calculator" display="Click here to check for Updates"/>
    <hyperlink ref="C4" r:id="rId2" display="Click here for the online version"/>
  </hyperlinks>
  <printOptions/>
  <pageMargins left="0.75" right="0.75" top="1" bottom="1" header="0.5" footer="0.5"/>
  <pageSetup horizontalDpi="300" verticalDpi="300" orientation="portrait" r:id="rId6"/>
  <drawing r:id="rId5"/>
  <legacyDrawing r:id="rId4"/>
</worksheet>
</file>

<file path=xl/worksheets/sheet7.xml><?xml version="1.0" encoding="utf-8"?>
<worksheet xmlns="http://schemas.openxmlformats.org/spreadsheetml/2006/main" xmlns:r="http://schemas.openxmlformats.org/officeDocument/2006/relationships">
  <sheetPr codeName="Sheet4">
    <pageSetUpPr fitToPage="1"/>
  </sheetPr>
  <dimension ref="B1:N176"/>
  <sheetViews>
    <sheetView showGridLines="0" showRowColHeaders="0" workbookViewId="0" topLeftCell="A1">
      <selection activeCell="D5" sqref="D5"/>
    </sheetView>
  </sheetViews>
  <sheetFormatPr defaultColWidth="9.140625" defaultRowHeight="12" zeroHeight="1"/>
  <cols>
    <col min="1" max="1" width="0.5625" style="148" customWidth="1"/>
    <col min="2" max="2" width="1.1484375" style="149" customWidth="1"/>
    <col min="3" max="5" width="10.7109375" style="165" customWidth="1"/>
    <col min="6" max="6" width="2.7109375" style="149" customWidth="1"/>
    <col min="7" max="13" width="9.140625" style="149" customWidth="1"/>
    <col min="14" max="14" width="1.1484375" style="149" customWidth="1"/>
    <col min="15" max="15" width="0.5625" style="149" customWidth="1"/>
    <col min="16" max="16384" width="0" style="149" hidden="1" customWidth="1"/>
  </cols>
  <sheetData>
    <row r="1" spans="3:5" ht="3" customHeight="1" thickBot="1">
      <c r="C1" s="149"/>
      <c r="D1" s="149"/>
      <c r="E1" s="149"/>
    </row>
    <row r="2" spans="2:14" ht="6" customHeight="1" thickTop="1">
      <c r="B2" s="150"/>
      <c r="C2" s="151"/>
      <c r="D2" s="151"/>
      <c r="E2" s="151"/>
      <c r="F2" s="151"/>
      <c r="G2" s="151"/>
      <c r="H2" s="151"/>
      <c r="I2" s="151"/>
      <c r="J2" s="151"/>
      <c r="K2" s="151"/>
      <c r="L2" s="151"/>
      <c r="M2" s="151"/>
      <c r="N2" s="152"/>
    </row>
    <row r="3" spans="2:14" ht="12.75">
      <c r="B3" s="153"/>
      <c r="C3" s="485" t="s">
        <v>64</v>
      </c>
      <c r="D3" s="485"/>
      <c r="E3" s="485"/>
      <c r="F3" s="155"/>
      <c r="H3" s="147" t="s">
        <v>134</v>
      </c>
      <c r="I3" s="146"/>
      <c r="J3" s="146"/>
      <c r="K3" s="28"/>
      <c r="L3" s="147" t="s">
        <v>132</v>
      </c>
      <c r="M3" s="69"/>
      <c r="N3" s="154"/>
    </row>
    <row r="4" spans="2:14" ht="12">
      <c r="B4" s="153"/>
      <c r="C4" s="486"/>
      <c r="D4" s="486"/>
      <c r="E4" s="162"/>
      <c r="F4" s="155"/>
      <c r="G4" s="155"/>
      <c r="H4" s="147" t="s">
        <v>135</v>
      </c>
      <c r="I4" s="155"/>
      <c r="J4" s="155"/>
      <c r="K4" s="155"/>
      <c r="L4" s="155"/>
      <c r="M4" s="155"/>
      <c r="N4" s="154"/>
    </row>
    <row r="5" spans="2:14" ht="12">
      <c r="B5" s="153"/>
      <c r="C5" s="89" t="s">
        <v>3</v>
      </c>
      <c r="D5" s="56">
        <v>5</v>
      </c>
      <c r="E5" s="162"/>
      <c r="F5" s="155"/>
      <c r="G5" s="155"/>
      <c r="H5" s="155"/>
      <c r="I5" s="155"/>
      <c r="J5" s="155"/>
      <c r="K5" s="155"/>
      <c r="L5" s="155"/>
      <c r="M5" s="155"/>
      <c r="N5" s="154"/>
    </row>
    <row r="6" spans="2:14" ht="12">
      <c r="B6" s="153"/>
      <c r="C6" s="89" t="s">
        <v>63</v>
      </c>
      <c r="D6" s="56">
        <v>10</v>
      </c>
      <c r="E6" s="166" t="s">
        <v>37</v>
      </c>
      <c r="F6" s="155"/>
      <c r="G6" s="155"/>
      <c r="H6" s="155"/>
      <c r="I6" s="155"/>
      <c r="J6" s="155"/>
      <c r="K6" s="155"/>
      <c r="L6" s="155"/>
      <c r="M6" s="155"/>
      <c r="N6" s="154"/>
    </row>
    <row r="7" spans="2:14" ht="12">
      <c r="B7" s="153"/>
      <c r="C7" s="89" t="s">
        <v>58</v>
      </c>
      <c r="D7" s="56">
        <v>1</v>
      </c>
      <c r="E7" s="162" t="s">
        <v>133</v>
      </c>
      <c r="F7" s="155"/>
      <c r="G7" s="155"/>
      <c r="H7" s="155"/>
      <c r="I7" s="155"/>
      <c r="J7" s="155"/>
      <c r="K7" s="155"/>
      <c r="L7" s="155"/>
      <c r="M7" s="155"/>
      <c r="N7" s="154"/>
    </row>
    <row r="8" spans="2:14" ht="12.75" thickBot="1">
      <c r="B8" s="153"/>
      <c r="C8" s="479" t="s">
        <v>4</v>
      </c>
      <c r="D8" s="479"/>
      <c r="E8" s="479"/>
      <c r="F8" s="155"/>
      <c r="G8" s="155"/>
      <c r="H8" s="155"/>
      <c r="I8" s="155"/>
      <c r="J8" s="155"/>
      <c r="K8" s="155"/>
      <c r="L8" s="155"/>
      <c r="M8" s="155"/>
      <c r="N8" s="154"/>
    </row>
    <row r="9" spans="2:14" ht="12">
      <c r="B9" s="153"/>
      <c r="C9" s="89" t="s">
        <v>51</v>
      </c>
      <c r="D9" s="99">
        <v>30</v>
      </c>
      <c r="E9" s="163" t="str">
        <f>E6</f>
        <v>MHz</v>
      </c>
      <c r="F9" s="155"/>
      <c r="G9" s="155"/>
      <c r="H9" s="155"/>
      <c r="I9" s="155"/>
      <c r="J9" s="155"/>
      <c r="K9" s="155"/>
      <c r="L9" s="155"/>
      <c r="M9" s="155"/>
      <c r="N9" s="154"/>
    </row>
    <row r="10" spans="2:14" ht="12">
      <c r="B10" s="153"/>
      <c r="C10" s="89" t="s">
        <v>50</v>
      </c>
      <c r="D10" s="57">
        <v>5</v>
      </c>
      <c r="E10" s="163" t="str">
        <f>E6</f>
        <v>MHz</v>
      </c>
      <c r="F10" s="155"/>
      <c r="G10" s="155"/>
      <c r="H10" s="155"/>
      <c r="I10" s="155"/>
      <c r="J10" s="155"/>
      <c r="K10" s="155"/>
      <c r="L10" s="155"/>
      <c r="M10" s="155"/>
      <c r="N10" s="154"/>
    </row>
    <row r="11" spans="2:14" ht="12.75" thickBot="1">
      <c r="B11" s="153"/>
      <c r="C11" s="90" t="s">
        <v>52</v>
      </c>
      <c r="D11" s="58">
        <f>(D9-D10)/100</f>
        <v>0.25</v>
      </c>
      <c r="E11" s="164" t="str">
        <f>E6</f>
        <v>MHz</v>
      </c>
      <c r="F11" s="155"/>
      <c r="G11" s="155"/>
      <c r="H11" s="155"/>
      <c r="I11" s="155"/>
      <c r="J11" s="155"/>
      <c r="K11" s="155"/>
      <c r="L11" s="155"/>
      <c r="M11" s="155"/>
      <c r="N11" s="154"/>
    </row>
    <row r="12" spans="2:14" ht="12.75" thickTop="1">
      <c r="B12" s="153"/>
      <c r="C12" s="73"/>
      <c r="D12" s="487" t="s">
        <v>7</v>
      </c>
      <c r="E12" s="487"/>
      <c r="F12" s="155"/>
      <c r="G12" s="155"/>
      <c r="H12" s="155"/>
      <c r="I12" s="155"/>
      <c r="J12" s="155"/>
      <c r="K12" s="155"/>
      <c r="L12" s="155"/>
      <c r="M12" s="155"/>
      <c r="N12" s="154"/>
    </row>
    <row r="13" spans="2:14" ht="12.75" thickBot="1">
      <c r="B13" s="153"/>
      <c r="C13" s="59" t="str">
        <f>"Freq ("&amp;E6&amp;")"</f>
        <v>Freq (MHz)</v>
      </c>
      <c r="D13" s="59" t="s">
        <v>59</v>
      </c>
      <c r="E13" s="59" t="s">
        <v>60</v>
      </c>
      <c r="F13" s="155"/>
      <c r="G13" s="155"/>
      <c r="H13" s="155"/>
      <c r="I13" s="155"/>
      <c r="J13" s="155"/>
      <c r="K13" s="155"/>
      <c r="L13" s="155"/>
      <c r="M13" s="155"/>
      <c r="N13" s="154"/>
    </row>
    <row r="14" spans="2:14" ht="12">
      <c r="B14" s="153"/>
      <c r="C14" s="63">
        <f>D10</f>
        <v>5</v>
      </c>
      <c r="D14" s="63">
        <f aca="true" t="shared" si="0" ref="D14:D77">-10*LOG(1+($D$6/C14)^(2*$D$5))</f>
        <v>-30.10723865391773</v>
      </c>
      <c r="E14" s="63">
        <f aca="true" t="shared" si="1" ref="E14:E45">IF($D$6/C14&lt;1,-10*LOG(1+$E$120*(COS($D$5*ACOS($D$6/C14)))^2),-10*LOG(1+$E$120*(COSH($D$5*ACOSH($D$6/C14)))^2))</f>
        <v>-45.30604615982574</v>
      </c>
      <c r="F14" s="155"/>
      <c r="G14" s="155"/>
      <c r="H14" s="155"/>
      <c r="I14" s="155"/>
      <c r="J14" s="155"/>
      <c r="K14" s="155"/>
      <c r="L14" s="155"/>
      <c r="M14" s="155"/>
      <c r="N14" s="154"/>
    </row>
    <row r="15" spans="2:14" ht="12">
      <c r="B15" s="153"/>
      <c r="C15" s="63">
        <f aca="true" t="shared" si="2" ref="C15:C46">C14+$D$11</f>
        <v>5.25</v>
      </c>
      <c r="D15" s="63">
        <f t="shared" si="0"/>
        <v>-27.9909725684997</v>
      </c>
      <c r="E15" s="63">
        <f t="shared" si="1"/>
        <v>-42.838511984293355</v>
      </c>
      <c r="F15" s="155"/>
      <c r="G15" s="155"/>
      <c r="H15" s="155"/>
      <c r="I15" s="155"/>
      <c r="J15" s="155"/>
      <c r="K15" s="155"/>
      <c r="L15" s="155"/>
      <c r="M15" s="155"/>
      <c r="N15" s="154"/>
    </row>
    <row r="16" spans="2:14" ht="12">
      <c r="B16" s="153"/>
      <c r="C16" s="63">
        <f t="shared" si="2"/>
        <v>5.5</v>
      </c>
      <c r="D16" s="63">
        <f t="shared" si="0"/>
        <v>-25.97471761134884</v>
      </c>
      <c r="E16" s="63">
        <f t="shared" si="1"/>
        <v>-40.44282449106936</v>
      </c>
      <c r="F16" s="155"/>
      <c r="G16" s="155"/>
      <c r="H16" s="155"/>
      <c r="I16" s="155"/>
      <c r="J16" s="155"/>
      <c r="K16" s="155"/>
      <c r="L16" s="155"/>
      <c r="M16" s="155"/>
      <c r="N16" s="154"/>
    </row>
    <row r="17" spans="2:14" ht="12">
      <c r="B17" s="153"/>
      <c r="C17" s="63">
        <f t="shared" si="2"/>
        <v>5.75</v>
      </c>
      <c r="D17" s="63">
        <f t="shared" si="0"/>
        <v>-24.050339572659645</v>
      </c>
      <c r="E17" s="63">
        <f t="shared" si="1"/>
        <v>-38.10817318517919</v>
      </c>
      <c r="F17" s="155"/>
      <c r="G17" s="155"/>
      <c r="H17" s="155"/>
      <c r="I17" s="155"/>
      <c r="J17" s="155"/>
      <c r="K17" s="155"/>
      <c r="L17" s="155"/>
      <c r="M17" s="155"/>
      <c r="N17" s="154"/>
    </row>
    <row r="18" spans="2:14" ht="12">
      <c r="B18" s="153"/>
      <c r="C18" s="63">
        <f t="shared" si="2"/>
        <v>6</v>
      </c>
      <c r="D18" s="63">
        <f t="shared" si="0"/>
        <v>-22.211056014335362</v>
      </c>
      <c r="E18" s="63">
        <f t="shared" si="1"/>
        <v>-35.82455542887324</v>
      </c>
      <c r="F18" s="155"/>
      <c r="G18" s="155"/>
      <c r="H18" s="155"/>
      <c r="I18" s="155"/>
      <c r="J18" s="155"/>
      <c r="K18" s="155"/>
      <c r="L18" s="155"/>
      <c r="M18" s="155"/>
      <c r="N18" s="154"/>
    </row>
    <row r="19" spans="2:14" ht="12">
      <c r="B19" s="153"/>
      <c r="C19" s="63">
        <f t="shared" si="2"/>
        <v>6.25</v>
      </c>
      <c r="D19" s="63">
        <f t="shared" si="0"/>
        <v>-20.451318580348975</v>
      </c>
      <c r="E19" s="63">
        <f t="shared" si="1"/>
        <v>-33.58253602275723</v>
      </c>
      <c r="F19" s="155"/>
      <c r="G19" s="155"/>
      <c r="H19" s="155"/>
      <c r="I19" s="155"/>
      <c r="J19" s="155"/>
      <c r="K19" s="155"/>
      <c r="L19" s="155"/>
      <c r="M19" s="155"/>
      <c r="N19" s="154"/>
    </row>
    <row r="20" spans="2:14" ht="12">
      <c r="B20" s="153"/>
      <c r="C20" s="63">
        <f t="shared" si="2"/>
        <v>6.5</v>
      </c>
      <c r="D20" s="63">
        <f t="shared" si="0"/>
        <v>-18.766742214724527</v>
      </c>
      <c r="E20" s="63">
        <f t="shared" si="1"/>
        <v>-31.37303156640707</v>
      </c>
      <c r="F20" s="155"/>
      <c r="G20" s="155"/>
      <c r="H20" s="155"/>
      <c r="I20" s="155"/>
      <c r="J20" s="155"/>
      <c r="K20" s="155"/>
      <c r="L20" s="155"/>
      <c r="M20" s="155"/>
      <c r="N20" s="154"/>
    </row>
    <row r="21" spans="2:14" ht="12">
      <c r="B21" s="153"/>
      <c r="C21" s="63">
        <f t="shared" si="2"/>
        <v>6.75</v>
      </c>
      <c r="D21" s="63">
        <f t="shared" si="0"/>
        <v>-17.154071377241358</v>
      </c>
      <c r="E21" s="63">
        <f t="shared" si="1"/>
        <v>-29.187110818799553</v>
      </c>
      <c r="F21" s="155"/>
      <c r="G21" s="155"/>
      <c r="H21" s="155"/>
      <c r="I21" s="155"/>
      <c r="J21" s="155"/>
      <c r="K21" s="155"/>
      <c r="L21" s="155"/>
      <c r="M21" s="155"/>
      <c r="N21" s="154"/>
    </row>
    <row r="22" spans="2:14" ht="12">
      <c r="B22" s="153"/>
      <c r="C22" s="63">
        <f t="shared" si="2"/>
        <v>7</v>
      </c>
      <c r="D22" s="63">
        <f t="shared" si="0"/>
        <v>-15.611172726473818</v>
      </c>
      <c r="E22" s="63">
        <f t="shared" si="1"/>
        <v>-27.015806440942093</v>
      </c>
      <c r="F22" s="155"/>
      <c r="G22" s="155"/>
      <c r="H22" s="155"/>
      <c r="I22" s="155"/>
      <c r="J22" s="155"/>
      <c r="K22" s="155"/>
      <c r="L22" s="155"/>
      <c r="M22" s="155"/>
      <c r="N22" s="154"/>
    </row>
    <row r="23" spans="2:14" ht="12">
      <c r="B23" s="153"/>
      <c r="C23" s="63">
        <f t="shared" si="2"/>
        <v>7.25</v>
      </c>
      <c r="D23" s="63">
        <f t="shared" si="0"/>
        <v>-14.137041199450945</v>
      </c>
      <c r="E23" s="63">
        <f t="shared" si="1"/>
        <v>-24.849940089334876</v>
      </c>
      <c r="F23" s="155"/>
      <c r="G23" s="155"/>
      <c r="H23" s="155"/>
      <c r="I23" s="155"/>
      <c r="J23" s="155"/>
      <c r="K23" s="155"/>
      <c r="L23" s="155"/>
      <c r="M23" s="420" t="s">
        <v>197</v>
      </c>
      <c r="N23" s="154"/>
    </row>
    <row r="24" spans="2:14" ht="12">
      <c r="B24" s="153"/>
      <c r="C24" s="63">
        <f t="shared" si="2"/>
        <v>7.5</v>
      </c>
      <c r="D24" s="63">
        <f t="shared" si="0"/>
        <v>-12.731802023683505</v>
      </c>
      <c r="E24" s="63">
        <f t="shared" si="1"/>
        <v>-22.67997562230115</v>
      </c>
      <c r="F24" s="155"/>
      <c r="G24" s="155"/>
      <c r="H24" s="155"/>
      <c r="I24" s="155"/>
      <c r="J24" s="155"/>
      <c r="K24" s="155"/>
      <c r="L24" s="155"/>
      <c r="M24" s="155"/>
      <c r="N24" s="154"/>
    </row>
    <row r="25" spans="2:14" ht="12">
      <c r="B25" s="153"/>
      <c r="C25" s="63">
        <f t="shared" si="2"/>
        <v>7.75</v>
      </c>
      <c r="D25" s="63">
        <f t="shared" si="0"/>
        <v>-11.396685445701673</v>
      </c>
      <c r="E25" s="63">
        <f t="shared" si="1"/>
        <v>-20.495942260592052</v>
      </c>
      <c r="F25" s="155"/>
      <c r="G25" s="155"/>
      <c r="H25" s="155"/>
      <c r="I25" s="155"/>
      <c r="J25" s="155"/>
      <c r="K25" s="155"/>
      <c r="L25" s="155"/>
      <c r="M25" s="155"/>
      <c r="N25" s="154"/>
    </row>
    <row r="26" spans="2:14" ht="12">
      <c r="B26" s="153"/>
      <c r="C26" s="63">
        <f t="shared" si="2"/>
        <v>8</v>
      </c>
      <c r="D26" s="63">
        <f t="shared" si="0"/>
        <v>-10.133945241238077</v>
      </c>
      <c r="E26" s="63">
        <f t="shared" si="1"/>
        <v>-18.2875287546994</v>
      </c>
      <c r="F26" s="155"/>
      <c r="G26" s="155"/>
      <c r="H26" s="155"/>
      <c r="I26" s="155"/>
      <c r="J26" s="155"/>
      <c r="K26" s="155"/>
      <c r="L26" s="155"/>
      <c r="M26" s="155"/>
      <c r="N26" s="154"/>
    </row>
    <row r="27" spans="2:14" ht="12">
      <c r="B27" s="153"/>
      <c r="C27" s="63">
        <f t="shared" si="2"/>
        <v>8.25</v>
      </c>
      <c r="D27" s="63">
        <f t="shared" si="0"/>
        <v>-8.946689131510283</v>
      </c>
      <c r="E27" s="63">
        <f t="shared" si="1"/>
        <v>-16.044580820179636</v>
      </c>
      <c r="F27" s="155"/>
      <c r="G27" s="155"/>
      <c r="H27" s="155"/>
      <c r="I27" s="155"/>
      <c r="J27" s="155"/>
      <c r="K27" s="155"/>
      <c r="L27" s="155"/>
      <c r="M27" s="155"/>
      <c r="N27" s="154"/>
    </row>
    <row r="28" spans="2:14" ht="12">
      <c r="B28" s="153"/>
      <c r="C28" s="63">
        <f t="shared" si="2"/>
        <v>8.5</v>
      </c>
      <c r="D28" s="63">
        <f t="shared" si="0"/>
        <v>-7.838593223665924</v>
      </c>
      <c r="E28" s="63">
        <f t="shared" si="1"/>
        <v>-13.758525160280366</v>
      </c>
      <c r="F28" s="155"/>
      <c r="G28" s="155"/>
      <c r="H28" s="155"/>
      <c r="I28" s="155"/>
      <c r="J28" s="155"/>
      <c r="K28" s="155"/>
      <c r="L28" s="155"/>
      <c r="M28" s="155"/>
      <c r="N28" s="154"/>
    </row>
    <row r="29" spans="2:14" ht="12">
      <c r="B29" s="153"/>
      <c r="C29" s="63">
        <f t="shared" si="2"/>
        <v>8.75</v>
      </c>
      <c r="D29" s="63">
        <f t="shared" si="0"/>
        <v>-6.813488071326197</v>
      </c>
      <c r="E29" s="63">
        <f t="shared" si="1"/>
        <v>-11.42587495901144</v>
      </c>
      <c r="F29" s="155"/>
      <c r="G29" s="155"/>
      <c r="H29" s="155"/>
      <c r="I29" s="155"/>
      <c r="J29" s="155"/>
      <c r="K29" s="155"/>
      <c r="L29" s="155"/>
      <c r="M29" s="155"/>
      <c r="N29" s="154"/>
    </row>
    <row r="30" spans="2:14" ht="12">
      <c r="B30" s="153"/>
      <c r="C30" s="63">
        <f t="shared" si="2"/>
        <v>9</v>
      </c>
      <c r="D30" s="63">
        <f t="shared" si="0"/>
        <v>-5.8748332055875965</v>
      </c>
      <c r="E30" s="63">
        <f t="shared" si="1"/>
        <v>-9.056232613817164</v>
      </c>
      <c r="F30" s="155"/>
      <c r="G30" s="155"/>
      <c r="H30" s="155"/>
      <c r="I30" s="155"/>
      <c r="J30" s="155"/>
      <c r="K30" s="155"/>
      <c r="L30" s="155"/>
      <c r="M30" s="155"/>
      <c r="N30" s="154"/>
    </row>
    <row r="31" spans="2:14" ht="12">
      <c r="B31" s="153"/>
      <c r="C31" s="63">
        <f t="shared" si="2"/>
        <v>9.25</v>
      </c>
      <c r="D31" s="63">
        <f t="shared" si="0"/>
        <v>-5.025136240084497</v>
      </c>
      <c r="E31" s="63">
        <f t="shared" si="1"/>
        <v>-6.689083953108346</v>
      </c>
      <c r="F31" s="155"/>
      <c r="G31" s="155"/>
      <c r="H31" s="155"/>
      <c r="I31" s="155"/>
      <c r="J31" s="155"/>
      <c r="K31" s="155"/>
      <c r="L31" s="155"/>
      <c r="M31" s="155"/>
      <c r="N31" s="154"/>
    </row>
    <row r="32" spans="2:14" ht="12">
      <c r="B32" s="153"/>
      <c r="C32" s="63">
        <f t="shared" si="2"/>
        <v>9.5</v>
      </c>
      <c r="D32" s="63">
        <f t="shared" si="0"/>
        <v>-4.265409566764994</v>
      </c>
      <c r="E32" s="63">
        <f t="shared" si="1"/>
        <v>-4.42323767739419</v>
      </c>
      <c r="F32" s="155"/>
      <c r="G32" s="155"/>
      <c r="H32" s="155"/>
      <c r="I32" s="155"/>
      <c r="J32" s="155"/>
      <c r="K32" s="155"/>
      <c r="L32" s="155"/>
      <c r="M32" s="155"/>
      <c r="N32" s="154"/>
    </row>
    <row r="33" spans="2:14" ht="12">
      <c r="B33" s="153"/>
      <c r="C33" s="63">
        <f t="shared" si="2"/>
        <v>9.75</v>
      </c>
      <c r="D33" s="63">
        <f t="shared" si="0"/>
        <v>-3.5947740087407865</v>
      </c>
      <c r="E33" s="63">
        <f t="shared" si="1"/>
        <v>-2.4461999223910493</v>
      </c>
      <c r="F33" s="155"/>
      <c r="G33" s="155"/>
      <c r="H33" s="155"/>
      <c r="I33" s="155"/>
      <c r="J33" s="155"/>
      <c r="K33" s="155"/>
      <c r="L33" s="155"/>
      <c r="M33" s="155"/>
      <c r="N33" s="154"/>
    </row>
    <row r="34" spans="2:14" ht="12">
      <c r="B34" s="153"/>
      <c r="C34" s="63">
        <f t="shared" si="2"/>
        <v>10</v>
      </c>
      <c r="D34" s="63">
        <f t="shared" si="0"/>
        <v>-3.010299956639812</v>
      </c>
      <c r="E34" s="63">
        <f t="shared" si="1"/>
        <v>-1.0000000000000002</v>
      </c>
      <c r="F34" s="155"/>
      <c r="G34" s="155"/>
      <c r="H34" s="155"/>
      <c r="I34" s="155"/>
      <c r="J34" s="155"/>
      <c r="K34" s="155"/>
      <c r="L34" s="155"/>
      <c r="M34" s="155"/>
      <c r="N34" s="154"/>
    </row>
    <row r="35" spans="2:14" ht="12">
      <c r="B35" s="153"/>
      <c r="C35" s="63">
        <f t="shared" si="2"/>
        <v>10.25</v>
      </c>
      <c r="D35" s="63">
        <f t="shared" si="0"/>
        <v>-2.5071229676571516</v>
      </c>
      <c r="E35" s="63">
        <f t="shared" si="1"/>
        <v>-0.21976334318448335</v>
      </c>
      <c r="F35" s="155"/>
      <c r="G35" s="155"/>
      <c r="H35" s="155"/>
      <c r="I35" s="155"/>
      <c r="J35" s="155"/>
      <c r="K35" s="155"/>
      <c r="L35" s="155"/>
      <c r="M35" s="155"/>
      <c r="N35" s="154"/>
    </row>
    <row r="36" spans="2:14" ht="12">
      <c r="B36" s="153"/>
      <c r="C36" s="63">
        <f t="shared" si="2"/>
        <v>10.5</v>
      </c>
      <c r="D36" s="63">
        <f t="shared" si="0"/>
        <v>-2.0788018805580735</v>
      </c>
      <c r="E36" s="63">
        <f t="shared" si="1"/>
        <v>-0.0005232288649655992</v>
      </c>
      <c r="F36" s="155"/>
      <c r="G36" s="155"/>
      <c r="H36" s="155"/>
      <c r="I36" s="155"/>
      <c r="J36" s="155"/>
      <c r="K36" s="155"/>
      <c r="L36" s="155"/>
      <c r="M36" s="155"/>
      <c r="N36" s="154"/>
    </row>
    <row r="37" spans="2:14" ht="12">
      <c r="B37" s="153"/>
      <c r="C37" s="63">
        <f t="shared" si="2"/>
        <v>10.75</v>
      </c>
      <c r="D37" s="63">
        <f t="shared" si="0"/>
        <v>-1.7178316509589346</v>
      </c>
      <c r="E37" s="63">
        <f t="shared" si="1"/>
        <v>-0.1021046828365458</v>
      </c>
      <c r="F37" s="155"/>
      <c r="G37" s="155"/>
      <c r="H37" s="155"/>
      <c r="I37" s="155"/>
      <c r="J37" s="155"/>
      <c r="K37" s="155"/>
      <c r="L37" s="155"/>
      <c r="M37" s="155"/>
      <c r="N37" s="154"/>
    </row>
    <row r="38" spans="2:14" ht="12">
      <c r="B38" s="153"/>
      <c r="C38" s="63">
        <f t="shared" si="2"/>
        <v>11</v>
      </c>
      <c r="D38" s="63">
        <f t="shared" si="0"/>
        <v>-1.4162009927499635</v>
      </c>
      <c r="E38" s="63">
        <f t="shared" si="1"/>
        <v>-0.32303670745369606</v>
      </c>
      <c r="F38" s="155"/>
      <c r="G38" s="155"/>
      <c r="H38" s="155"/>
      <c r="I38" s="155"/>
      <c r="J38" s="155"/>
      <c r="K38" s="155"/>
      <c r="L38" s="155"/>
      <c r="M38" s="155"/>
      <c r="N38" s="154"/>
    </row>
    <row r="39" spans="2:14" ht="12">
      <c r="B39" s="153"/>
      <c r="C39" s="63">
        <f t="shared" si="2"/>
        <v>11.25</v>
      </c>
      <c r="D39" s="63">
        <f t="shared" si="0"/>
        <v>-1.1658986305806476</v>
      </c>
      <c r="E39" s="63">
        <f t="shared" si="1"/>
        <v>-0.5517641190912188</v>
      </c>
      <c r="F39" s="155"/>
      <c r="G39" s="155"/>
      <c r="H39" s="155"/>
      <c r="I39" s="155"/>
      <c r="J39" s="155"/>
      <c r="K39" s="155"/>
      <c r="L39" s="155"/>
      <c r="M39" s="155"/>
      <c r="N39" s="154"/>
    </row>
    <row r="40" spans="2:14" ht="12">
      <c r="B40" s="153"/>
      <c r="C40" s="63">
        <f t="shared" si="2"/>
        <v>11.5</v>
      </c>
      <c r="D40" s="63">
        <f t="shared" si="0"/>
        <v>-0.9593077658135836</v>
      </c>
      <c r="E40" s="63">
        <f t="shared" si="1"/>
        <v>-0.7410291069132688</v>
      </c>
      <c r="F40" s="155"/>
      <c r="G40" s="155"/>
      <c r="H40" s="155"/>
      <c r="I40" s="155"/>
      <c r="J40" s="155"/>
      <c r="K40" s="155"/>
      <c r="L40" s="155"/>
      <c r="M40" s="155"/>
      <c r="N40" s="154"/>
    </row>
    <row r="41" spans="2:14" ht="12">
      <c r="B41" s="153"/>
      <c r="C41" s="63">
        <f t="shared" si="2"/>
        <v>11.75</v>
      </c>
      <c r="D41" s="63">
        <f t="shared" si="0"/>
        <v>-0.789467861595332</v>
      </c>
      <c r="E41" s="63">
        <f t="shared" si="1"/>
        <v>-0.8768200027785813</v>
      </c>
      <c r="F41" s="155"/>
      <c r="G41" s="155"/>
      <c r="H41" s="155"/>
      <c r="I41" s="155"/>
      <c r="J41" s="155"/>
      <c r="K41" s="155"/>
      <c r="L41" s="155"/>
      <c r="M41" s="155"/>
      <c r="N41" s="154"/>
    </row>
    <row r="42" spans="2:14" ht="12">
      <c r="B42" s="153"/>
      <c r="C42" s="63">
        <f t="shared" si="2"/>
        <v>12</v>
      </c>
      <c r="D42" s="63">
        <f t="shared" si="0"/>
        <v>-0.6502130162004761</v>
      </c>
      <c r="E42" s="63">
        <f t="shared" si="1"/>
        <v>-0.9598385814068393</v>
      </c>
      <c r="F42" s="155"/>
      <c r="G42" s="155"/>
      <c r="H42" s="155"/>
      <c r="I42" s="155"/>
      <c r="J42" s="155"/>
      <c r="K42" s="155"/>
      <c r="L42" s="155"/>
      <c r="M42" s="155"/>
      <c r="N42" s="154"/>
    </row>
    <row r="43" spans="2:14" ht="12">
      <c r="B43" s="153"/>
      <c r="C43" s="63">
        <f t="shared" si="2"/>
        <v>12.25</v>
      </c>
      <c r="D43" s="63">
        <f t="shared" si="0"/>
        <v>-0.5362125546589277</v>
      </c>
      <c r="E43" s="63">
        <f t="shared" si="1"/>
        <v>-0.9964892403570691</v>
      </c>
      <c r="F43" s="155"/>
      <c r="G43" s="155"/>
      <c r="H43" s="155"/>
      <c r="I43" s="155"/>
      <c r="J43" s="155"/>
      <c r="K43" s="155"/>
      <c r="L43" s="155"/>
      <c r="M43" s="155"/>
      <c r="N43" s="154"/>
    </row>
    <row r="44" spans="2:14" ht="12">
      <c r="B44" s="153"/>
      <c r="C44" s="63">
        <f t="shared" si="2"/>
        <v>12.5</v>
      </c>
      <c r="D44" s="63">
        <f t="shared" si="0"/>
        <v>-0.44294394043243657</v>
      </c>
      <c r="E44" s="63">
        <f t="shared" si="1"/>
        <v>-0.9948594138767826</v>
      </c>
      <c r="F44" s="155"/>
      <c r="G44" s="155"/>
      <c r="H44" s="155"/>
      <c r="I44" s="155"/>
      <c r="J44" s="155"/>
      <c r="K44" s="155"/>
      <c r="L44" s="155"/>
      <c r="M44" s="155"/>
      <c r="N44" s="154"/>
    </row>
    <row r="45" spans="2:14" ht="12">
      <c r="B45" s="153"/>
      <c r="C45" s="63">
        <f t="shared" si="2"/>
        <v>12.75</v>
      </c>
      <c r="D45" s="63">
        <f t="shared" si="0"/>
        <v>-0.36662515152694397</v>
      </c>
      <c r="E45" s="63">
        <f t="shared" si="1"/>
        <v>-0.9630262483130797</v>
      </c>
      <c r="F45" s="155"/>
      <c r="G45" s="155"/>
      <c r="H45" s="155"/>
      <c r="I45" s="155"/>
      <c r="J45" s="155"/>
      <c r="K45" s="155"/>
      <c r="L45" s="155"/>
      <c r="M45" s="155"/>
      <c r="N45" s="154"/>
    </row>
    <row r="46" spans="2:14" ht="12">
      <c r="B46" s="153"/>
      <c r="C46" s="63">
        <f t="shared" si="2"/>
        <v>13</v>
      </c>
      <c r="D46" s="63">
        <f t="shared" si="0"/>
        <v>-0.3041274902850517</v>
      </c>
      <c r="E46" s="63">
        <f aca="true" t="shared" si="3" ref="E46:E77">IF($D$6/C46&lt;1,-10*LOG(1+$E$120*(COS($D$5*ACOS($D$6/C46)))^2),-10*LOG(1+$E$120*(COSH($D$5*ACOSH($D$6/C46)))^2))</f>
        <v>-0.9083978660611696</v>
      </c>
      <c r="F46" s="155"/>
      <c r="G46" s="155"/>
      <c r="H46" s="155"/>
      <c r="I46" s="155"/>
      <c r="J46" s="155"/>
      <c r="K46" s="155"/>
      <c r="L46" s="155"/>
      <c r="M46" s="155"/>
      <c r="N46" s="154"/>
    </row>
    <row r="47" spans="2:14" ht="12">
      <c r="B47" s="153"/>
      <c r="C47" s="63">
        <f aca="true" t="shared" si="4" ref="C47:C78">C46+$D$11</f>
        <v>13.25</v>
      </c>
      <c r="D47" s="63">
        <f t="shared" si="0"/>
        <v>-0.252883221288256</v>
      </c>
      <c r="E47" s="63">
        <f t="shared" si="3"/>
        <v>-0.8375012452393832</v>
      </c>
      <c r="F47" s="155"/>
      <c r="G47" s="155"/>
      <c r="H47" s="155"/>
      <c r="I47" s="155"/>
      <c r="J47" s="155"/>
      <c r="K47" s="155"/>
      <c r="L47" s="155"/>
      <c r="M47" s="155"/>
      <c r="N47" s="154"/>
    </row>
    <row r="48" spans="2:14" ht="12">
      <c r="B48" s="153"/>
      <c r="C48" s="63">
        <f t="shared" si="4"/>
        <v>13.5</v>
      </c>
      <c r="D48" s="63">
        <f t="shared" si="0"/>
        <v>-0.21079686714494916</v>
      </c>
      <c r="E48" s="63">
        <f t="shared" si="3"/>
        <v>-0.7559552595227834</v>
      </c>
      <c r="F48" s="155"/>
      <c r="G48" s="155"/>
      <c r="H48" s="155"/>
      <c r="I48" s="155"/>
      <c r="J48" s="155"/>
      <c r="K48" s="155"/>
      <c r="L48" s="155"/>
      <c r="M48" s="155"/>
      <c r="N48" s="154"/>
    </row>
    <row r="49" spans="2:14" ht="12">
      <c r="B49" s="153"/>
      <c r="C49" s="63">
        <f t="shared" si="4"/>
        <v>13.75</v>
      </c>
      <c r="D49" s="63">
        <f t="shared" si="0"/>
        <v>-0.17616487177700757</v>
      </c>
      <c r="E49" s="63">
        <f t="shared" si="3"/>
        <v>-0.6685146554310993</v>
      </c>
      <c r="F49" s="155"/>
      <c r="G49" s="155"/>
      <c r="H49" s="155"/>
      <c r="I49" s="155"/>
      <c r="J49" s="155"/>
      <c r="K49" s="155"/>
      <c r="L49" s="155"/>
      <c r="M49" s="155"/>
      <c r="N49" s="154"/>
    </row>
    <row r="50" spans="2:14" ht="12">
      <c r="B50" s="153"/>
      <c r="C50" s="63">
        <f t="shared" si="4"/>
        <v>14</v>
      </c>
      <c r="D50" s="63">
        <f t="shared" si="0"/>
        <v>-0.1476055790063492</v>
      </c>
      <c r="E50" s="63">
        <f t="shared" si="3"/>
        <v>-0.5791367440705375</v>
      </c>
      <c r="F50" s="155"/>
      <c r="G50" s="155"/>
      <c r="H50" s="155"/>
      <c r="I50" s="155"/>
      <c r="J50" s="155"/>
      <c r="K50" s="155"/>
      <c r="L50" s="155"/>
      <c r="M50" s="155"/>
      <c r="N50" s="154"/>
    </row>
    <row r="51" spans="2:14" ht="12">
      <c r="B51" s="153"/>
      <c r="C51" s="63">
        <f t="shared" si="4"/>
        <v>14.25</v>
      </c>
      <c r="D51" s="63">
        <f t="shared" si="0"/>
        <v>-0.12399978351108906</v>
      </c>
      <c r="E51" s="63">
        <f t="shared" si="3"/>
        <v>-0.4910520243195734</v>
      </c>
      <c r="F51" s="155"/>
      <c r="G51" s="155"/>
      <c r="H51" s="155"/>
      <c r="I51" s="155"/>
      <c r="J51" s="155"/>
      <c r="K51" s="155"/>
      <c r="L51" s="155"/>
      <c r="M51" s="155"/>
      <c r="N51" s="154"/>
    </row>
    <row r="52" spans="2:14" ht="12">
      <c r="B52" s="153"/>
      <c r="C52" s="63">
        <f t="shared" si="4"/>
        <v>14.5</v>
      </c>
      <c r="D52" s="63">
        <f t="shared" si="0"/>
        <v>-0.1044411787773872</v>
      </c>
      <c r="E52" s="63">
        <f t="shared" si="3"/>
        <v>-0.4068327846925173</v>
      </c>
      <c r="F52" s="155"/>
      <c r="G52" s="155"/>
      <c r="H52" s="155"/>
      <c r="I52" s="155"/>
      <c r="J52" s="155"/>
      <c r="K52" s="155"/>
      <c r="L52" s="155"/>
      <c r="M52" s="155"/>
      <c r="N52" s="154"/>
    </row>
    <row r="53" spans="2:14" ht="12">
      <c r="B53" s="153"/>
      <c r="C53" s="63">
        <f t="shared" si="4"/>
        <v>14.75</v>
      </c>
      <c r="D53" s="63">
        <f t="shared" si="0"/>
        <v>-0.08819558921229828</v>
      </c>
      <c r="E53" s="63">
        <f t="shared" si="3"/>
        <v>-0.3284589128711931</v>
      </c>
      <c r="F53" s="155"/>
      <c r="G53" s="155"/>
      <c r="H53" s="155"/>
      <c r="I53" s="155"/>
      <c r="J53" s="155"/>
      <c r="K53" s="155"/>
      <c r="L53" s="155"/>
      <c r="M53" s="155"/>
      <c r="N53" s="154"/>
    </row>
    <row r="54" spans="2:14" ht="12">
      <c r="B54" s="153"/>
      <c r="C54" s="63">
        <f t="shared" si="4"/>
        <v>15</v>
      </c>
      <c r="D54" s="63">
        <f t="shared" si="0"/>
        <v>-0.0746677362891737</v>
      </c>
      <c r="E54" s="63">
        <f t="shared" si="3"/>
        <v>-0.25738178612272916</v>
      </c>
      <c r="F54" s="155"/>
      <c r="G54" s="155"/>
      <c r="H54" s="155"/>
      <c r="I54" s="155"/>
      <c r="J54" s="155"/>
      <c r="K54" s="155"/>
      <c r="L54" s="155"/>
      <c r="M54" s="155"/>
      <c r="N54" s="154"/>
    </row>
    <row r="55" spans="2:14" ht="12">
      <c r="B55" s="153"/>
      <c r="C55" s="63">
        <f t="shared" si="4"/>
        <v>15.25</v>
      </c>
      <c r="D55" s="63">
        <f t="shared" si="0"/>
        <v>-0.06337431895176013</v>
      </c>
      <c r="E55" s="63">
        <f t="shared" si="3"/>
        <v>-0.19458717493749234</v>
      </c>
      <c r="F55" s="155"/>
      <c r="G55" s="155"/>
      <c r="H55" s="155"/>
      <c r="I55" s="155"/>
      <c r="J55" s="155"/>
      <c r="K55" s="155"/>
      <c r="L55" s="155"/>
      <c r="M55" s="155"/>
      <c r="N55" s="154"/>
    </row>
    <row r="56" spans="2:14" ht="12">
      <c r="B56" s="153"/>
      <c r="C56" s="63">
        <f t="shared" si="4"/>
        <v>15.5</v>
      </c>
      <c r="D56" s="63">
        <f t="shared" si="0"/>
        <v>-0.05392230206075185</v>
      </c>
      <c r="E56" s="63">
        <f t="shared" si="3"/>
        <v>-0.14065753566919997</v>
      </c>
      <c r="F56" s="155"/>
      <c r="G56" s="155"/>
      <c r="H56" s="155"/>
      <c r="I56" s="155"/>
      <c r="J56" s="155"/>
      <c r="K56" s="155"/>
      <c r="L56" s="155"/>
      <c r="M56" s="155"/>
      <c r="N56" s="154"/>
    </row>
    <row r="57" spans="2:14" ht="12">
      <c r="B57" s="153"/>
      <c r="C57" s="63">
        <f t="shared" si="4"/>
        <v>15.75</v>
      </c>
      <c r="D57" s="63">
        <f t="shared" si="0"/>
        <v>-0.04599145275318835</v>
      </c>
      <c r="E57" s="63">
        <f t="shared" si="3"/>
        <v>-0.09583339414602861</v>
      </c>
      <c r="F57" s="155"/>
      <c r="G57" s="155"/>
      <c r="H57" s="155"/>
      <c r="I57" s="155"/>
      <c r="J57" s="155"/>
      <c r="K57" s="155"/>
      <c r="L57" s="155"/>
      <c r="M57" s="155"/>
      <c r="N57" s="154"/>
    </row>
    <row r="58" spans="2:14" ht="12">
      <c r="B58" s="153"/>
      <c r="C58" s="63">
        <f t="shared" si="4"/>
        <v>16</v>
      </c>
      <c r="D58" s="63">
        <f t="shared" si="0"/>
        <v>-0.039320314756490234</v>
      </c>
      <c r="E58" s="63">
        <f t="shared" si="3"/>
        <v>-0.06007298192959378</v>
      </c>
      <c r="F58" s="155"/>
      <c r="G58" s="155"/>
      <c r="H58" s="155"/>
      <c r="I58" s="155"/>
      <c r="J58" s="155"/>
      <c r="K58" s="155"/>
      <c r="L58" s="155"/>
      <c r="M58" s="155"/>
      <c r="N58" s="154"/>
    </row>
    <row r="59" spans="2:14" ht="12">
      <c r="B59" s="153"/>
      <c r="C59" s="63">
        <f t="shared" si="4"/>
        <v>16.25</v>
      </c>
      <c r="D59" s="63">
        <f t="shared" si="0"/>
        <v>-0.033694950396321005</v>
      </c>
      <c r="E59" s="63">
        <f t="shared" si="3"/>
        <v>-0.033108984995548985</v>
      </c>
      <c r="F59" s="155"/>
      <c r="G59" s="155"/>
      <c r="H59" s="155"/>
      <c r="I59" s="155"/>
      <c r="J59" s="155"/>
      <c r="K59" s="155"/>
      <c r="L59" s="155"/>
      <c r="M59" s="155"/>
      <c r="N59" s="154"/>
    </row>
    <row r="60" spans="2:14" ht="12">
      <c r="B60" s="153"/>
      <c r="C60" s="63">
        <f t="shared" si="4"/>
        <v>16.5</v>
      </c>
      <c r="D60" s="63">
        <f t="shared" si="0"/>
        <v>-0.028939902957463844</v>
      </c>
      <c r="E60" s="63">
        <f t="shared" si="3"/>
        <v>-0.014501213778212639</v>
      </c>
      <c r="F60" s="155"/>
      <c r="G60" s="155"/>
      <c r="H60" s="155"/>
      <c r="I60" s="155"/>
      <c r="J60" s="155"/>
      <c r="K60" s="155"/>
      <c r="L60" s="155"/>
      <c r="M60" s="155"/>
      <c r="N60" s="154"/>
    </row>
    <row r="61" spans="2:14" ht="12">
      <c r="B61" s="153"/>
      <c r="C61" s="63">
        <f t="shared" si="4"/>
        <v>16.75</v>
      </c>
      <c r="D61" s="63">
        <f t="shared" si="0"/>
        <v>-0.024910936540072825</v>
      </c>
      <c r="E61" s="63">
        <f t="shared" si="3"/>
        <v>-0.0036841604134114692</v>
      </c>
      <c r="F61" s="155"/>
      <c r="G61" s="155"/>
      <c r="H61" s="155"/>
      <c r="I61" s="155"/>
      <c r="J61" s="155"/>
      <c r="K61" s="155"/>
      <c r="L61" s="155"/>
      <c r="M61" s="155"/>
      <c r="N61" s="154"/>
    </row>
    <row r="62" spans="2:14" ht="12">
      <c r="B62" s="153"/>
      <c r="C62" s="63">
        <f t="shared" si="4"/>
        <v>17</v>
      </c>
      <c r="D62" s="63">
        <f t="shared" si="0"/>
        <v>-0.021489197364241704</v>
      </c>
      <c r="E62" s="63">
        <f t="shared" si="3"/>
        <v>-8.70289070020975E-06</v>
      </c>
      <c r="F62" s="155"/>
      <c r="G62" s="155"/>
      <c r="H62" s="155"/>
      <c r="I62" s="155"/>
      <c r="J62" s="155"/>
      <c r="K62" s="155"/>
      <c r="L62" s="155"/>
      <c r="M62" s="155"/>
      <c r="N62" s="154"/>
    </row>
    <row r="63" spans="2:14" ht="12">
      <c r="B63" s="153"/>
      <c r="C63" s="63">
        <f t="shared" si="4"/>
        <v>17.25</v>
      </c>
      <c r="D63" s="63">
        <f t="shared" si="0"/>
        <v>-0.018576511491221002</v>
      </c>
      <c r="E63" s="63">
        <f t="shared" si="3"/>
        <v>-0.0027775711430101926</v>
      </c>
      <c r="F63" s="155"/>
      <c r="G63" s="155"/>
      <c r="H63" s="155"/>
      <c r="I63" s="155"/>
      <c r="J63" s="155"/>
      <c r="K63" s="155"/>
      <c r="L63" s="155"/>
      <c r="M63" s="155"/>
      <c r="N63" s="154"/>
    </row>
    <row r="64" spans="2:14" ht="12">
      <c r="B64" s="153"/>
      <c r="C64" s="63">
        <f t="shared" si="4"/>
        <v>17.5</v>
      </c>
      <c r="D64" s="63">
        <f t="shared" si="0"/>
        <v>-0.016091591402484437</v>
      </c>
      <c r="E64" s="63">
        <f t="shared" si="3"/>
        <v>-0.011274542084663318</v>
      </c>
      <c r="F64" s="155"/>
      <c r="G64" s="155"/>
      <c r="H64" s="155"/>
      <c r="I64" s="155"/>
      <c r="J64" s="155"/>
      <c r="K64" s="155"/>
      <c r="L64" s="155"/>
      <c r="M64" s="155"/>
      <c r="N64" s="154"/>
    </row>
    <row r="65" spans="2:14" ht="12">
      <c r="B65" s="153"/>
      <c r="C65" s="63">
        <f t="shared" si="4"/>
        <v>17.75</v>
      </c>
      <c r="D65" s="63">
        <f t="shared" si="0"/>
        <v>-0.01396697004545605</v>
      </c>
      <c r="E65" s="63">
        <f t="shared" si="3"/>
        <v>-0.02478763343655759</v>
      </c>
      <c r="F65" s="155"/>
      <c r="G65" s="155"/>
      <c r="H65" s="155"/>
      <c r="I65" s="155"/>
      <c r="J65" s="155"/>
      <c r="K65" s="155"/>
      <c r="L65" s="155"/>
      <c r="M65" s="155"/>
      <c r="N65" s="154"/>
    </row>
    <row r="66" spans="2:14" ht="12">
      <c r="B66" s="153"/>
      <c r="C66" s="63">
        <f t="shared" si="4"/>
        <v>18</v>
      </c>
      <c r="D66" s="63">
        <f t="shared" si="0"/>
        <v>-0.01214651785277562</v>
      </c>
      <c r="E66" s="63">
        <f t="shared" si="3"/>
        <v>-0.042626794729555405</v>
      </c>
      <c r="F66" s="155"/>
      <c r="G66" s="155"/>
      <c r="H66" s="155"/>
      <c r="I66" s="155"/>
      <c r="J66" s="155"/>
      <c r="K66" s="155"/>
      <c r="L66" s="155"/>
      <c r="M66" s="155"/>
      <c r="N66" s="154"/>
    </row>
    <row r="67" spans="2:14" ht="12">
      <c r="B67" s="153"/>
      <c r="C67" s="63">
        <f t="shared" si="4"/>
        <v>18.25</v>
      </c>
      <c r="D67" s="63">
        <f t="shared" si="0"/>
        <v>-0.01058342763269767</v>
      </c>
      <c r="E67" s="63">
        <f t="shared" si="3"/>
        <v>-0.06413674100539246</v>
      </c>
      <c r="F67" s="155"/>
      <c r="G67" s="155"/>
      <c r="H67" s="155"/>
      <c r="I67" s="155"/>
      <c r="J67" s="155"/>
      <c r="K67" s="155"/>
      <c r="L67" s="155"/>
      <c r="M67" s="155"/>
      <c r="N67" s="154"/>
    </row>
    <row r="68" spans="2:14" ht="12">
      <c r="B68" s="153"/>
      <c r="C68" s="63">
        <f t="shared" si="4"/>
        <v>18.5</v>
      </c>
      <c r="D68" s="63">
        <f t="shared" si="0"/>
        <v>-0.009238575591004761</v>
      </c>
      <c r="E68" s="63">
        <f t="shared" si="3"/>
        <v>-0.08870564627535882</v>
      </c>
      <c r="F68" s="155"/>
      <c r="G68" s="155"/>
      <c r="H68" s="155"/>
      <c r="I68" s="155"/>
      <c r="J68" s="155"/>
      <c r="K68" s="155"/>
      <c r="L68" s="155"/>
      <c r="M68" s="155"/>
      <c r="N68" s="154"/>
    </row>
    <row r="69" spans="2:14" ht="12">
      <c r="B69" s="153"/>
      <c r="C69" s="63">
        <f t="shared" si="4"/>
        <v>18.75</v>
      </c>
      <c r="D69" s="63">
        <f t="shared" si="0"/>
        <v>-0.00807918529583973</v>
      </c>
      <c r="E69" s="63">
        <f t="shared" si="3"/>
        <v>-0.11577042317644419</v>
      </c>
      <c r="F69" s="155"/>
      <c r="G69" s="155"/>
      <c r="H69" s="155"/>
      <c r="I69" s="155"/>
      <c r="J69" s="155"/>
      <c r="K69" s="155"/>
      <c r="L69" s="155"/>
      <c r="M69" s="155"/>
      <c r="N69" s="154"/>
    </row>
    <row r="70" spans="2:14" ht="12">
      <c r="B70" s="153"/>
      <c r="C70" s="63">
        <f t="shared" si="4"/>
        <v>19</v>
      </c>
      <c r="D70" s="63">
        <f t="shared" si="0"/>
        <v>-0.007077736122441208</v>
      </c>
      <c r="E70" s="63">
        <f t="shared" si="3"/>
        <v>-0.14481927888495502</v>
      </c>
      <c r="F70" s="155"/>
      <c r="G70" s="155"/>
      <c r="H70" s="155"/>
      <c r="I70" s="155"/>
      <c r="J70" s="155"/>
      <c r="K70" s="155"/>
      <c r="L70" s="155"/>
      <c r="M70" s="155"/>
      <c r="N70" s="154"/>
    </row>
    <row r="71" spans="2:14" ht="12">
      <c r="B71" s="153"/>
      <c r="C71" s="63">
        <f t="shared" si="4"/>
        <v>19.25</v>
      </c>
      <c r="D71" s="63">
        <f t="shared" si="0"/>
        <v>-0.006211069406697587</v>
      </c>
      <c r="E71" s="63">
        <f t="shared" si="3"/>
        <v>-0.1753921712893992</v>
      </c>
      <c r="F71" s="155"/>
      <c r="G71" s="155"/>
      <c r="H71" s="155"/>
      <c r="I71" s="155"/>
      <c r="J71" s="155"/>
      <c r="K71" s="155"/>
      <c r="L71" s="155"/>
      <c r="M71" s="155"/>
      <c r="N71" s="154"/>
    </row>
    <row r="72" spans="2:14" ht="12">
      <c r="B72" s="153"/>
      <c r="C72" s="63">
        <f t="shared" si="4"/>
        <v>19.5</v>
      </c>
      <c r="D72" s="63">
        <f t="shared" si="0"/>
        <v>-0.005459654826297438</v>
      </c>
      <c r="E72" s="63">
        <f t="shared" si="3"/>
        <v>-0.20707970749888446</v>
      </c>
      <c r="F72" s="155"/>
      <c r="G72" s="155"/>
      <c r="H72" s="155"/>
      <c r="I72" s="155"/>
      <c r="J72" s="155"/>
      <c r="K72" s="155"/>
      <c r="L72" s="155"/>
      <c r="M72" s="155"/>
      <c r="N72" s="154"/>
    </row>
    <row r="73" spans="2:14" ht="12">
      <c r="B73" s="153"/>
      <c r="C73" s="63">
        <f t="shared" si="4"/>
        <v>19.75</v>
      </c>
      <c r="D73" s="63">
        <f t="shared" si="0"/>
        <v>-0.00480698691737395</v>
      </c>
      <c r="E73" s="63">
        <f t="shared" si="3"/>
        <v>-0.23952093967494126</v>
      </c>
      <c r="F73" s="155"/>
      <c r="G73" s="155"/>
      <c r="H73" s="155"/>
      <c r="I73" s="155"/>
      <c r="J73" s="155"/>
      <c r="K73" s="155"/>
      <c r="L73" s="155"/>
      <c r="M73" s="155"/>
      <c r="N73" s="154"/>
    </row>
    <row r="74" spans="2:14" ht="12">
      <c r="B74" s="153"/>
      <c r="C74" s="63">
        <f t="shared" si="4"/>
        <v>20</v>
      </c>
      <c r="D74" s="63">
        <f t="shared" si="0"/>
        <v>-0.0042390875196115195</v>
      </c>
      <c r="E74" s="63">
        <f t="shared" si="3"/>
        <v>-0.27240042845372126</v>
      </c>
      <c r="F74" s="155"/>
      <c r="G74" s="155"/>
      <c r="H74" s="155"/>
      <c r="I74" s="155"/>
      <c r="J74" s="155"/>
      <c r="K74" s="155"/>
      <c r="L74" s="155"/>
      <c r="M74" s="155"/>
      <c r="N74" s="154"/>
    </row>
    <row r="75" spans="2:14" ht="12">
      <c r="B75" s="153"/>
      <c r="C75" s="63">
        <f t="shared" si="4"/>
        <v>20.25</v>
      </c>
      <c r="D75" s="63">
        <f t="shared" si="0"/>
        <v>-0.0037440946372914066</v>
      </c>
      <c r="E75" s="63">
        <f t="shared" si="3"/>
        <v>-0.3054448666064916</v>
      </c>
      <c r="F75" s="155"/>
      <c r="G75" s="155"/>
      <c r="H75" s="155"/>
      <c r="I75" s="155"/>
      <c r="J75" s="155"/>
      <c r="K75" s="155"/>
      <c r="L75" s="155"/>
      <c r="M75" s="155"/>
      <c r="N75" s="154"/>
    </row>
    <row r="76" spans="2:14" ht="12">
      <c r="B76" s="153"/>
      <c r="C76" s="63">
        <f t="shared" si="4"/>
        <v>20.5</v>
      </c>
      <c r="D76" s="63">
        <f t="shared" si="0"/>
        <v>-0.003311921954846673</v>
      </c>
      <c r="E76" s="63">
        <f t="shared" si="3"/>
        <v>-0.3384194875826108</v>
      </c>
      <c r="F76" s="155"/>
      <c r="G76" s="155"/>
      <c r="H76" s="155"/>
      <c r="I76" s="155"/>
      <c r="J76" s="155"/>
      <c r="K76" s="155"/>
      <c r="L76" s="155"/>
      <c r="M76" s="155"/>
      <c r="N76" s="154"/>
    </row>
    <row r="77" spans="2:14" ht="12">
      <c r="B77" s="153"/>
      <c r="C77" s="63">
        <f t="shared" si="4"/>
        <v>20.75</v>
      </c>
      <c r="D77" s="63">
        <f t="shared" si="0"/>
        <v>-0.0029339762483847737</v>
      </c>
      <c r="E77" s="63">
        <f t="shared" si="3"/>
        <v>-0.3711244260845458</v>
      </c>
      <c r="F77" s="155"/>
      <c r="G77" s="155"/>
      <c r="H77" s="155"/>
      <c r="I77" s="155"/>
      <c r="J77" s="155"/>
      <c r="K77" s="155"/>
      <c r="L77" s="155"/>
      <c r="M77" s="155"/>
      <c r="N77" s="154"/>
    </row>
    <row r="78" spans="2:14" ht="12">
      <c r="B78" s="153"/>
      <c r="C78" s="63">
        <f t="shared" si="4"/>
        <v>21</v>
      </c>
      <c r="D78" s="63">
        <f aca="true" t="shared" si="5" ref="D78:D109">-10*LOG(1+($D$6/C78)^(2*$D$5))</f>
        <v>-0.002602922343114081</v>
      </c>
      <c r="E78" s="63">
        <f aca="true" t="shared" si="6" ref="E78:E114">IF($D$6/C78&lt;1,-10*LOG(1+$E$120*(COS($D$5*ACOS($D$6/C78)))^2),-10*LOG(1+$E$120*(COSH($D$5*ACOSH($D$6/C78)))^2))</f>
        <v>-0.40339115065081577</v>
      </c>
      <c r="F78" s="155"/>
      <c r="G78" s="155"/>
      <c r="H78" s="155"/>
      <c r="I78" s="155"/>
      <c r="J78" s="155"/>
      <c r="K78" s="155"/>
      <c r="L78" s="155"/>
      <c r="M78" s="155"/>
      <c r="N78" s="154"/>
    </row>
    <row r="79" spans="2:14" ht="12">
      <c r="B79" s="153"/>
      <c r="C79" s="63">
        <f aca="true" t="shared" si="7" ref="C79:C114">C78+$D$11</f>
        <v>21.25</v>
      </c>
      <c r="D79" s="63">
        <f t="shared" si="5"/>
        <v>-0.0023124872022404624</v>
      </c>
      <c r="E79" s="63">
        <f t="shared" si="6"/>
        <v>-0.4350790505310017</v>
      </c>
      <c r="F79" s="155"/>
      <c r="G79" s="155"/>
      <c r="H79" s="155"/>
      <c r="I79" s="155"/>
      <c r="J79" s="155"/>
      <c r="K79" s="155"/>
      <c r="L79" s="155"/>
      <c r="M79" s="155"/>
      <c r="N79" s="154"/>
    </row>
    <row r="80" spans="2:14" ht="12">
      <c r="B80" s="153"/>
      <c r="C80" s="63">
        <f t="shared" si="7"/>
        <v>21.5</v>
      </c>
      <c r="D80" s="63">
        <f t="shared" si="5"/>
        <v>-0.002057296291711271</v>
      </c>
      <c r="E80" s="63">
        <f t="shared" si="6"/>
        <v>-0.46607222975694673</v>
      </c>
      <c r="F80" s="155"/>
      <c r="G80" s="155"/>
      <c r="H80" s="155"/>
      <c r="I80" s="155"/>
      <c r="J80" s="155"/>
      <c r="K80" s="155"/>
      <c r="L80" s="155"/>
      <c r="M80" s="155"/>
      <c r="N80" s="154"/>
    </row>
    <row r="81" spans="2:14" ht="12">
      <c r="B81" s="153"/>
      <c r="C81" s="63">
        <f t="shared" si="7"/>
        <v>21.75</v>
      </c>
      <c r="D81" s="63">
        <f t="shared" si="5"/>
        <v>-0.001832736623133292</v>
      </c>
      <c r="E81" s="63">
        <f t="shared" si="6"/>
        <v>-0.4962765389650543</v>
      </c>
      <c r="F81" s="155"/>
      <c r="G81" s="155"/>
      <c r="H81" s="155"/>
      <c r="I81" s="155"/>
      <c r="J81" s="155"/>
      <c r="K81" s="155"/>
      <c r="L81" s="155"/>
      <c r="M81" s="155"/>
      <c r="N81" s="154"/>
    </row>
    <row r="82" spans="2:14" ht="12">
      <c r="B82" s="153"/>
      <c r="C82" s="63">
        <f t="shared" si="7"/>
        <v>22</v>
      </c>
      <c r="D82" s="63">
        <f t="shared" si="5"/>
        <v>-0.0016348418944845391</v>
      </c>
      <c r="E82" s="63">
        <f t="shared" si="6"/>
        <v>-0.5256168589535605</v>
      </c>
      <c r="F82" s="155"/>
      <c r="G82" s="155"/>
      <c r="H82" s="155"/>
      <c r="I82" s="155"/>
      <c r="J82" s="155"/>
      <c r="K82" s="155"/>
      <c r="L82" s="155"/>
      <c r="M82" s="155"/>
      <c r="N82" s="154"/>
    </row>
    <row r="83" spans="2:14" ht="12">
      <c r="B83" s="153"/>
      <c r="C83" s="63">
        <f t="shared" si="7"/>
        <v>22.25</v>
      </c>
      <c r="D83" s="63">
        <f t="shared" si="5"/>
        <v>-0.0014601959726606916</v>
      </c>
      <c r="E83" s="63">
        <f t="shared" si="6"/>
        <v>-0.5540346380219604</v>
      </c>
      <c r="F83" s="155"/>
      <c r="G83" s="155"/>
      <c r="H83" s="155"/>
      <c r="I83" s="155"/>
      <c r="J83" s="155"/>
      <c r="K83" s="155"/>
      <c r="L83" s="155"/>
      <c r="M83" s="155"/>
      <c r="N83" s="154"/>
    </row>
    <row r="84" spans="2:14" ht="12">
      <c r="B84" s="153"/>
      <c r="C84" s="63">
        <f t="shared" si="7"/>
        <v>22.5</v>
      </c>
      <c r="D84" s="63">
        <f t="shared" si="5"/>
        <v>-0.0013058516314421117</v>
      </c>
      <c r="E84" s="63">
        <f t="shared" si="6"/>
        <v>-0.5814856768398944</v>
      </c>
      <c r="F84" s="155"/>
      <c r="G84" s="155"/>
      <c r="H84" s="155"/>
      <c r="I84" s="155"/>
      <c r="J84" s="155"/>
      <c r="K84" s="155"/>
      <c r="L84" s="155"/>
      <c r="M84" s="155"/>
      <c r="N84" s="154"/>
    </row>
    <row r="85" spans="2:14" ht="12">
      <c r="B85" s="153"/>
      <c r="C85" s="63">
        <f t="shared" si="7"/>
        <v>22.75</v>
      </c>
      <c r="D85" s="63">
        <f t="shared" si="5"/>
        <v>-0.00116926200333892</v>
      </c>
      <c r="E85" s="63">
        <f t="shared" si="6"/>
        <v>-0.6079381490891452</v>
      </c>
      <c r="F85" s="155"/>
      <c r="G85" s="155"/>
      <c r="H85" s="155"/>
      <c r="I85" s="155"/>
      <c r="J85" s="155"/>
      <c r="K85" s="155"/>
      <c r="L85" s="155"/>
      <c r="M85" s="155"/>
      <c r="N85" s="154"/>
    </row>
    <row r="86" spans="2:14" ht="12">
      <c r="B86" s="153"/>
      <c r="C86" s="63">
        <f t="shared" si="7"/>
        <v>23</v>
      </c>
      <c r="D86" s="63">
        <f t="shared" si="5"/>
        <v>-0.001048222648148804</v>
      </c>
      <c r="E86" s="63">
        <f t="shared" si="6"/>
        <v>-0.6333708427259348</v>
      </c>
      <c r="F86" s="155"/>
      <c r="G86" s="155"/>
      <c r="H86" s="155"/>
      <c r="I86" s="155"/>
      <c r="J86" s="155"/>
      <c r="K86" s="155"/>
      <c r="L86" s="155"/>
      <c r="M86" s="155"/>
      <c r="N86" s="154"/>
    </row>
    <row r="87" spans="2:14" ht="12">
      <c r="B87" s="153"/>
      <c r="C87" s="63">
        <f t="shared" si="7"/>
        <v>23.25</v>
      </c>
      <c r="D87" s="63">
        <f t="shared" si="5"/>
        <v>-0.0009408225042271231</v>
      </c>
      <c r="E87" s="63">
        <f t="shared" si="6"/>
        <v>-0.6577716048686494</v>
      </c>
      <c r="F87" s="155"/>
      <c r="G87" s="155"/>
      <c r="H87" s="155"/>
      <c r="I87" s="155"/>
      <c r="J87" s="155"/>
      <c r="K87" s="155"/>
      <c r="L87" s="155"/>
      <c r="M87" s="155"/>
      <c r="N87" s="154"/>
    </row>
    <row r="88" spans="2:14" ht="12">
      <c r="B88" s="153"/>
      <c r="C88" s="63">
        <f t="shared" si="7"/>
        <v>23.5</v>
      </c>
      <c r="D88" s="63">
        <f t="shared" si="5"/>
        <v>-0.0008454022858827046</v>
      </c>
      <c r="E88" s="63">
        <f t="shared" si="6"/>
        <v>-0.6811359725938192</v>
      </c>
      <c r="F88" s="155"/>
      <c r="G88" s="155"/>
      <c r="H88" s="155"/>
      <c r="I88" s="155"/>
      <c r="J88" s="155"/>
      <c r="K88" s="155"/>
      <c r="L88" s="155"/>
      <c r="M88" s="155"/>
      <c r="N88" s="154"/>
    </row>
    <row r="89" spans="2:14" ht="12">
      <c r="B89" s="153"/>
      <c r="C89" s="63">
        <f t="shared" si="7"/>
        <v>23.75</v>
      </c>
      <c r="D89" s="63">
        <f t="shared" si="5"/>
        <v>-0.0007605191343184761</v>
      </c>
      <c r="E89" s="63">
        <f t="shared" si="6"/>
        <v>-0.7034659719846934</v>
      </c>
      <c r="F89" s="155"/>
      <c r="G89" s="155"/>
      <c r="H89" s="155"/>
      <c r="I89" s="155"/>
      <c r="J89" s="155"/>
      <c r="K89" s="155"/>
      <c r="L89" s="155"/>
      <c r="M89" s="155"/>
      <c r="N89" s="154"/>
    </row>
    <row r="90" spans="2:14" ht="12">
      <c r="B90" s="153"/>
      <c r="C90" s="63">
        <f t="shared" si="7"/>
        <v>24</v>
      </c>
      <c r="D90" s="63">
        <f t="shared" si="5"/>
        <v>-0.0006849165302625216</v>
      </c>
      <c r="E90" s="63">
        <f t="shared" si="6"/>
        <v>-0.7247690683668744</v>
      </c>
      <c r="F90" s="155"/>
      <c r="G90" s="155"/>
      <c r="H90" s="155"/>
      <c r="I90" s="155"/>
      <c r="J90" s="155"/>
      <c r="K90" s="155"/>
      <c r="L90" s="155"/>
      <c r="M90" s="155"/>
      <c r="N90" s="154"/>
    </row>
    <row r="91" spans="2:14" ht="12">
      <c r="B91" s="153"/>
      <c r="C91" s="63">
        <f t="shared" si="7"/>
        <v>24.25</v>
      </c>
      <c r="D91" s="63">
        <f t="shared" si="5"/>
        <v>-0.0006174986416947223</v>
      </c>
      <c r="E91" s="63">
        <f t="shared" si="6"/>
        <v>-0.7450572515931866</v>
      </c>
      <c r="F91" s="155"/>
      <c r="G91" s="155"/>
      <c r="H91" s="155"/>
      <c r="I91" s="155"/>
      <c r="J91" s="155"/>
      <c r="K91" s="155"/>
      <c r="L91" s="155"/>
      <c r="M91" s="155"/>
      <c r="N91" s="154"/>
    </row>
    <row r="92" spans="2:14" ht="12">
      <c r="B92" s="153"/>
      <c r="C92" s="63">
        <f t="shared" si="7"/>
        <v>24.5</v>
      </c>
      <c r="D92" s="63">
        <f t="shared" si="5"/>
        <v>-0.0005573084166197098</v>
      </c>
      <c r="E92" s="63">
        <f t="shared" si="6"/>
        <v>-0.7643462413654003</v>
      </c>
      <c r="F92" s="155"/>
      <c r="G92" s="155"/>
      <c r="H92" s="155"/>
      <c r="I92" s="155"/>
      <c r="J92" s="155"/>
      <c r="K92" s="155"/>
      <c r="L92" s="155"/>
      <c r="M92" s="155"/>
      <c r="N92" s="154"/>
    </row>
    <row r="93" spans="2:14" ht="12">
      <c r="B93" s="153"/>
      <c r="C93" s="63">
        <f t="shared" si="7"/>
        <v>24.75</v>
      </c>
      <c r="D93" s="63">
        <f t="shared" si="5"/>
        <v>-0.0005035088436455578</v>
      </c>
      <c r="E93" s="63">
        <f t="shared" si="6"/>
        <v>-0.7826547988025851</v>
      </c>
      <c r="F93" s="155"/>
      <c r="G93" s="155"/>
      <c r="H93" s="155"/>
      <c r="I93" s="155"/>
      <c r="J93" s="155"/>
      <c r="K93" s="155"/>
      <c r="L93" s="155"/>
      <c r="M93" s="155"/>
      <c r="N93" s="154"/>
    </row>
    <row r="94" spans="2:14" ht="12">
      <c r="B94" s="153"/>
      <c r="C94" s="63">
        <f t="shared" si="7"/>
        <v>25</v>
      </c>
      <c r="D94" s="63">
        <f t="shared" si="5"/>
        <v>-0.00045536689673347536</v>
      </c>
      <c r="E94" s="63">
        <f t="shared" si="6"/>
        <v>-0.8000041317140084</v>
      </c>
      <c r="F94" s="155"/>
      <c r="G94" s="155"/>
      <c r="H94" s="155"/>
      <c r="I94" s="155"/>
      <c r="J94" s="155"/>
      <c r="K94" s="155"/>
      <c r="L94" s="155"/>
      <c r="M94" s="155"/>
      <c r="N94" s="154"/>
    </row>
    <row r="95" spans="2:14" ht="12">
      <c r="B95" s="153"/>
      <c r="C95" s="63">
        <f t="shared" si="7"/>
        <v>25.25</v>
      </c>
      <c r="D95" s="63">
        <f t="shared" si="5"/>
        <v>-0.00041223975809160263</v>
      </c>
      <c r="E95" s="63">
        <f t="shared" si="6"/>
        <v>-0.816417382260236</v>
      </c>
      <c r="F95" s="155"/>
      <c r="G95" s="155"/>
      <c r="H95" s="155"/>
      <c r="I95" s="155"/>
      <c r="J95" s="155"/>
      <c r="K95" s="155"/>
      <c r="L95" s="155"/>
      <c r="M95" s="155"/>
      <c r="N95" s="154"/>
    </row>
    <row r="96" spans="2:14" ht="12">
      <c r="B96" s="153"/>
      <c r="C96" s="63">
        <f t="shared" si="7"/>
        <v>25.5</v>
      </c>
      <c r="D96" s="63">
        <f t="shared" si="5"/>
        <v>-0.0003735629778193109</v>
      </c>
      <c r="E96" s="63">
        <f t="shared" si="6"/>
        <v>-0.8319191868580333</v>
      </c>
      <c r="F96" s="155"/>
      <c r="G96" s="155"/>
      <c r="H96" s="155"/>
      <c r="I96" s="155"/>
      <c r="J96" s="155"/>
      <c r="K96" s="155"/>
      <c r="L96" s="155"/>
      <c r="M96" s="155"/>
      <c r="N96" s="154"/>
    </row>
    <row r="97" spans="2:14" ht="12">
      <c r="B97" s="153"/>
      <c r="C97" s="63">
        <f t="shared" si="7"/>
        <v>25.75</v>
      </c>
      <c r="D97" s="63">
        <f t="shared" si="5"/>
        <v>-0.0003388402826971955</v>
      </c>
      <c r="E97" s="63">
        <f t="shared" si="6"/>
        <v>-0.8465352992834778</v>
      </c>
      <c r="F97" s="155"/>
      <c r="G97" s="155"/>
      <c r="H97" s="155"/>
      <c r="I97" s="155"/>
      <c r="J97" s="155"/>
      <c r="K97" s="155"/>
      <c r="L97" s="155"/>
      <c r="M97" s="155"/>
      <c r="N97" s="154"/>
    </row>
    <row r="98" spans="2:14" ht="12">
      <c r="B98" s="153"/>
      <c r="C98" s="63">
        <f t="shared" si="7"/>
        <v>26</v>
      </c>
      <c r="D98" s="63">
        <f t="shared" si="5"/>
        <v>-0.00030763479147543146</v>
      </c>
      <c r="E98" s="63">
        <f t="shared" si="6"/>
        <v>-0.8602922689429591</v>
      </c>
      <c r="F98" s="155"/>
      <c r="G98" s="155"/>
      <c r="H98" s="155"/>
      <c r="I98" s="155"/>
      <c r="J98" s="155"/>
      <c r="K98" s="155"/>
      <c r="L98" s="155"/>
      <c r="M98" s="155"/>
      <c r="N98" s="154"/>
    </row>
    <row r="99" spans="2:14" ht="12">
      <c r="B99" s="153"/>
      <c r="C99" s="63">
        <f t="shared" si="7"/>
        <v>26.25</v>
      </c>
      <c r="D99" s="63">
        <f t="shared" si="5"/>
        <v>-0.00027956143157271024</v>
      </c>
      <c r="E99" s="63">
        <f t="shared" si="6"/>
        <v>-0.8732171672092698</v>
      </c>
      <c r="F99" s="155"/>
      <c r="G99" s="155"/>
      <c r="H99" s="155"/>
      <c r="I99" s="155"/>
      <c r="J99" s="155"/>
      <c r="K99" s="155"/>
      <c r="L99" s="155"/>
      <c r="M99" s="155"/>
      <c r="N99" s="154"/>
    </row>
    <row r="100" spans="2:14" ht="12">
      <c r="B100" s="153"/>
      <c r="C100" s="63">
        <f t="shared" si="7"/>
        <v>26.5</v>
      </c>
      <c r="D100" s="63">
        <f t="shared" si="5"/>
        <v>-0.0002542803835576852</v>
      </c>
      <c r="E100" s="63">
        <f t="shared" si="6"/>
        <v>-0.8853373555598277</v>
      </c>
      <c r="F100" s="155"/>
      <c r="G100" s="155"/>
      <c r="H100" s="155"/>
      <c r="I100" s="155"/>
      <c r="J100" s="155"/>
      <c r="K100" s="155"/>
      <c r="L100" s="155"/>
      <c r="M100" s="155"/>
      <c r="N100" s="154"/>
    </row>
    <row r="101" spans="2:14" ht="12">
      <c r="B101" s="153"/>
      <c r="C101" s="63">
        <f t="shared" si="7"/>
        <v>26.75</v>
      </c>
      <c r="D101" s="63">
        <f t="shared" si="5"/>
        <v>-0.0002314914062206597</v>
      </c>
      <c r="E101" s="63">
        <f t="shared" si="6"/>
        <v>-0.896680290008985</v>
      </c>
      <c r="F101" s="155"/>
      <c r="G101" s="155"/>
      <c r="H101" s="155"/>
      <c r="I101" s="155"/>
      <c r="J101" s="155"/>
      <c r="K101" s="155"/>
      <c r="L101" s="155"/>
      <c r="M101" s="155"/>
      <c r="N101" s="154"/>
    </row>
    <row r="102" spans="2:14" ht="12">
      <c r="B102" s="153"/>
      <c r="C102" s="63">
        <f t="shared" si="7"/>
        <v>27</v>
      </c>
      <c r="D102" s="63">
        <f t="shared" si="5"/>
        <v>-0.00021092891720183836</v>
      </c>
      <c r="E102" s="63">
        <f t="shared" si="6"/>
        <v>-0.9072733570011675</v>
      </c>
      <c r="F102" s="155"/>
      <c r="G102" s="155"/>
      <c r="H102" s="155"/>
      <c r="I102" s="155"/>
      <c r="J102" s="155"/>
      <c r="K102" s="155"/>
      <c r="L102" s="155"/>
      <c r="M102" s="155"/>
      <c r="N102" s="154"/>
    </row>
    <row r="103" spans="2:14" ht="12">
      <c r="B103" s="153"/>
      <c r="C103" s="63">
        <f t="shared" si="7"/>
        <v>27.25</v>
      </c>
      <c r="D103" s="63">
        <f t="shared" si="5"/>
        <v>-0.00019235772286883452</v>
      </c>
      <c r="E103" s="63">
        <f t="shared" si="6"/>
        <v>-0.9171437365318135</v>
      </c>
      <c r="F103" s="155"/>
      <c r="G103" s="155"/>
      <c r="H103" s="155"/>
      <c r="I103" s="155"/>
      <c r="J103" s="155"/>
      <c r="K103" s="155"/>
      <c r="L103" s="155"/>
      <c r="M103" s="155"/>
      <c r="N103" s="154"/>
    </row>
    <row r="104" spans="2:14" ht="12">
      <c r="B104" s="153"/>
      <c r="C104" s="63">
        <f t="shared" si="7"/>
        <v>27.5</v>
      </c>
      <c r="D104" s="63">
        <f t="shared" si="5"/>
        <v>-0.00017556930683597645</v>
      </c>
      <c r="E104" s="63">
        <f t="shared" si="6"/>
        <v>-0.9263182887948604</v>
      </c>
      <c r="F104" s="155"/>
      <c r="G104" s="155"/>
      <c r="H104" s="155"/>
      <c r="I104" s="155"/>
      <c r="J104" s="155"/>
      <c r="K104" s="155"/>
      <c r="L104" s="155"/>
      <c r="M104" s="155"/>
      <c r="N104" s="154"/>
    </row>
    <row r="105" spans="2:14" ht="12">
      <c r="B105" s="153"/>
      <c r="C105" s="63">
        <f t="shared" si="7"/>
        <v>27.75</v>
      </c>
      <c r="D105" s="63">
        <f t="shared" si="5"/>
        <v>-0.0001603785998921013</v>
      </c>
      <c r="E105" s="63">
        <f t="shared" si="6"/>
        <v>-0.9348234611252192</v>
      </c>
      <c r="F105" s="155"/>
      <c r="G105" s="155"/>
      <c r="H105" s="155"/>
      <c r="I105" s="155"/>
      <c r="J105" s="155"/>
      <c r="K105" s="155"/>
      <c r="L105" s="155"/>
      <c r="M105" s="155"/>
      <c r="N105" s="154"/>
    </row>
    <row r="106" spans="2:14" ht="12">
      <c r="B106" s="153"/>
      <c r="C106" s="63">
        <f t="shared" si="7"/>
        <v>28</v>
      </c>
      <c r="D106" s="63">
        <f t="shared" si="5"/>
        <v>-0.00014662116529235382</v>
      </c>
      <c r="E106" s="63">
        <f t="shared" si="6"/>
        <v>-0.9426852124183844</v>
      </c>
      <c r="F106" s="155"/>
      <c r="G106" s="155"/>
      <c r="H106" s="155"/>
      <c r="I106" s="155"/>
      <c r="J106" s="155"/>
      <c r="K106" s="155"/>
      <c r="L106" s="155"/>
      <c r="M106" s="155"/>
      <c r="N106" s="154"/>
    </row>
    <row r="107" spans="2:14" ht="12">
      <c r="B107" s="153"/>
      <c r="C107" s="63">
        <f t="shared" si="7"/>
        <v>28.25</v>
      </c>
      <c r="D107" s="63">
        <f t="shared" si="5"/>
        <v>-0.0001341507429430651</v>
      </c>
      <c r="E107" s="63">
        <f t="shared" si="6"/>
        <v>-0.9499289525728122</v>
      </c>
      <c r="F107" s="155"/>
      <c r="G107" s="155"/>
      <c r="H107" s="155"/>
      <c r="I107" s="155"/>
      <c r="J107" s="155"/>
      <c r="K107" s="155"/>
      <c r="L107" s="155"/>
      <c r="M107" s="155"/>
      <c r="N107" s="154"/>
    </row>
    <row r="108" spans="2:14" ht="12">
      <c r="B108" s="153"/>
      <c r="C108" s="63">
        <f t="shared" si="7"/>
        <v>28.5</v>
      </c>
      <c r="D108" s="63">
        <f t="shared" si="5"/>
        <v>-0.0001228371040997746</v>
      </c>
      <c r="E108" s="63">
        <f t="shared" si="6"/>
        <v>-0.9565794948196055</v>
      </c>
      <c r="F108" s="155"/>
      <c r="G108" s="155"/>
      <c r="H108" s="155"/>
      <c r="I108" s="155"/>
      <c r="J108" s="155"/>
      <c r="K108" s="155"/>
      <c r="L108" s="155"/>
      <c r="M108" s="155"/>
      <c r="N108" s="154"/>
    </row>
    <row r="109" spans="2:14" ht="12">
      <c r="B109" s="153"/>
      <c r="C109" s="63">
        <f t="shared" si="7"/>
        <v>28.75</v>
      </c>
      <c r="D109" s="63">
        <f t="shared" si="5"/>
        <v>-0.00011256417503536111</v>
      </c>
      <c r="E109" s="63">
        <f t="shared" si="6"/>
        <v>-0.9626610190832332</v>
      </c>
      <c r="F109" s="155"/>
      <c r="G109" s="155"/>
      <c r="H109" s="155"/>
      <c r="I109" s="155"/>
      <c r="J109" s="155"/>
      <c r="K109" s="155"/>
      <c r="L109" s="155"/>
      <c r="M109" s="155"/>
      <c r="N109" s="154"/>
    </row>
    <row r="110" spans="2:14" ht="12">
      <c r="B110" s="153"/>
      <c r="C110" s="63">
        <f t="shared" si="7"/>
        <v>29</v>
      </c>
      <c r="D110" s="63">
        <f>-10*LOG(1+($D$6/C110)^(2*$D$5))</f>
        <v>-0.00010322839402971822</v>
      </c>
      <c r="E110" s="63">
        <f t="shared" si="6"/>
        <v>-0.9681970447612266</v>
      </c>
      <c r="F110" s="155"/>
      <c r="G110" s="155"/>
      <c r="H110" s="155"/>
      <c r="I110" s="155"/>
      <c r="J110" s="155"/>
      <c r="K110" s="155"/>
      <c r="L110" s="155"/>
      <c r="M110" s="155"/>
      <c r="N110" s="154"/>
    </row>
    <row r="111" spans="2:14" ht="12">
      <c r="B111" s="153"/>
      <c r="C111" s="63">
        <f t="shared" si="7"/>
        <v>29.25</v>
      </c>
      <c r="D111" s="63">
        <f>-10*LOG(1+($D$6/C111)^(2*$D$5))</f>
        <v>-9.473727098964688E-05</v>
      </c>
      <c r="E111" s="63">
        <f t="shared" si="6"/>
        <v>-0.9732104115240872</v>
      </c>
      <c r="F111" s="155"/>
      <c r="G111" s="155"/>
      <c r="H111" s="155"/>
      <c r="I111" s="155"/>
      <c r="J111" s="155"/>
      <c r="K111" s="155"/>
      <c r="L111" s="155"/>
      <c r="M111" s="155"/>
      <c r="N111" s="154"/>
    </row>
    <row r="112" spans="2:14" ht="12">
      <c r="B112" s="153"/>
      <c r="C112" s="63">
        <f t="shared" si="7"/>
        <v>29.5</v>
      </c>
      <c r="D112" s="63">
        <f>-10*LOG(1+($D$6/C112)^(2*$D$5))</f>
        <v>-8.700812325089822E-05</v>
      </c>
      <c r="E112" s="63">
        <f t="shared" si="6"/>
        <v>-0.9777232669227777</v>
      </c>
      <c r="F112" s="155"/>
      <c r="G112" s="155"/>
      <c r="H112" s="155"/>
      <c r="I112" s="155"/>
      <c r="J112" s="155"/>
      <c r="K112" s="155"/>
      <c r="L112" s="155"/>
      <c r="M112" s="155"/>
      <c r="N112" s="154"/>
    </row>
    <row r="113" spans="2:14" ht="12">
      <c r="B113" s="153"/>
      <c r="C113" s="63">
        <f t="shared" si="7"/>
        <v>29.75</v>
      </c>
      <c r="D113" s="63">
        <f>-10*LOG(1+($D$6/C113)^(2*$D$5))</f>
        <v>-7.996696478306781E-05</v>
      </c>
      <c r="E113" s="63">
        <f t="shared" si="6"/>
        <v>-0.9817570597534844</v>
      </c>
      <c r="F113" s="155"/>
      <c r="G113" s="155"/>
      <c r="H113" s="155"/>
      <c r="I113" s="155"/>
      <c r="J113" s="155"/>
      <c r="K113" s="155"/>
      <c r="L113" s="155"/>
      <c r="M113" s="155"/>
      <c r="N113" s="154"/>
    </row>
    <row r="114" spans="2:14" ht="12">
      <c r="B114" s="153"/>
      <c r="C114" s="64">
        <f t="shared" si="7"/>
        <v>30</v>
      </c>
      <c r="D114" s="64">
        <f>-10*LOG(1+($D$6/C114)^(2*$D$5))</f>
        <v>-7.354752909275928E-05</v>
      </c>
      <c r="E114" s="64">
        <f t="shared" si="6"/>
        <v>-0.9853325382707544</v>
      </c>
      <c r="F114" s="155"/>
      <c r="G114" s="157" t="str">
        <f>Home!$D$7&amp;", "&amp;Home!$D$8&amp;", "&amp;Home!$D$9</f>
        <v>RF Cafe Calculator Workbook, v6.0, by RF Cafe</v>
      </c>
      <c r="H114" s="155"/>
      <c r="I114" s="155"/>
      <c r="J114" s="155"/>
      <c r="K114" s="155"/>
      <c r="L114" s="155"/>
      <c r="M114" s="155"/>
      <c r="N114" s="154"/>
    </row>
    <row r="115" spans="2:14" ht="6" customHeight="1" thickBot="1">
      <c r="B115" s="158"/>
      <c r="C115" s="65"/>
      <c r="D115" s="66"/>
      <c r="E115" s="66"/>
      <c r="F115" s="159"/>
      <c r="G115" s="159"/>
      <c r="H115" s="159"/>
      <c r="I115" s="159"/>
      <c r="J115" s="159"/>
      <c r="K115" s="159"/>
      <c r="L115" s="159"/>
      <c r="M115" s="159"/>
      <c r="N115" s="160"/>
    </row>
    <row r="116" spans="3:5" ht="3" customHeight="1" thickTop="1">
      <c r="C116" s="67"/>
      <c r="D116" s="68"/>
      <c r="E116" s="68"/>
    </row>
    <row r="117" spans="4:5" ht="12" hidden="1">
      <c r="D117" s="68"/>
      <c r="E117" s="5"/>
    </row>
    <row r="118" spans="3:5" ht="12" hidden="1">
      <c r="C118" s="5"/>
      <c r="D118" s="68"/>
      <c r="E118" s="5"/>
    </row>
    <row r="119" spans="3:4" ht="12" hidden="1">
      <c r="C119" s="5"/>
      <c r="D119" s="5"/>
    </row>
    <row r="120" spans="3:5" ht="12" hidden="1">
      <c r="C120" s="165" t="s">
        <v>46</v>
      </c>
      <c r="E120" s="5">
        <f>10^(D7/10)-1</f>
        <v>0.2589254117941673</v>
      </c>
    </row>
    <row r="121" spans="3:4" ht="12" hidden="1">
      <c r="C121" s="165" t="s">
        <v>37</v>
      </c>
      <c r="D121" s="5"/>
    </row>
    <row r="122" spans="3:4" ht="12" hidden="1">
      <c r="C122" s="165" t="s">
        <v>47</v>
      </c>
      <c r="D122" s="5"/>
    </row>
    <row r="123" ht="12" hidden="1">
      <c r="D123" s="5"/>
    </row>
    <row r="124" spans="3:4" ht="12" hidden="1">
      <c r="C124" s="5"/>
      <c r="D124" s="5"/>
    </row>
    <row r="125" spans="3:4" ht="12" hidden="1">
      <c r="C125" s="5"/>
      <c r="D125" s="5"/>
    </row>
    <row r="126" spans="3:4" ht="12" hidden="1">
      <c r="C126" s="5"/>
      <c r="D126" s="5"/>
    </row>
    <row r="127" spans="3:4" ht="12" hidden="1">
      <c r="C127" s="5"/>
      <c r="D127" s="5"/>
    </row>
    <row r="128" spans="3:4" ht="12" hidden="1">
      <c r="C128" s="5"/>
      <c r="D128" s="5"/>
    </row>
    <row r="129" spans="3:4" ht="12" hidden="1">
      <c r="C129" s="5"/>
      <c r="D129" s="5"/>
    </row>
    <row r="130" spans="3:4" ht="12" hidden="1">
      <c r="C130" s="5"/>
      <c r="D130" s="5"/>
    </row>
    <row r="131" spans="3:4" ht="12" hidden="1">
      <c r="C131" s="5"/>
      <c r="D131" s="5"/>
    </row>
    <row r="132" spans="3:4" ht="12" hidden="1">
      <c r="C132" s="5"/>
      <c r="D132" s="5"/>
    </row>
    <row r="133" spans="3:4" ht="12" hidden="1">
      <c r="C133" s="5"/>
      <c r="D133" s="5"/>
    </row>
    <row r="134" spans="3:4" ht="12" hidden="1">
      <c r="C134" s="5"/>
      <c r="D134" s="5"/>
    </row>
    <row r="135" spans="3:4" ht="12" hidden="1">
      <c r="C135" s="5"/>
      <c r="D135" s="5"/>
    </row>
    <row r="136" spans="3:4" ht="12" hidden="1">
      <c r="C136" s="5"/>
      <c r="D136" s="5"/>
    </row>
    <row r="137" spans="3:4" ht="12" hidden="1">
      <c r="C137" s="5"/>
      <c r="D137" s="5"/>
    </row>
    <row r="138" spans="3:4" ht="12" hidden="1">
      <c r="C138" s="5"/>
      <c r="D138" s="5"/>
    </row>
    <row r="139" spans="3:4" ht="12" hidden="1">
      <c r="C139" s="5"/>
      <c r="D139" s="5"/>
    </row>
    <row r="140" spans="3:4" ht="12" hidden="1">
      <c r="C140" s="5"/>
      <c r="D140" s="5"/>
    </row>
    <row r="141" spans="3:4" ht="12" hidden="1">
      <c r="C141" s="5"/>
      <c r="D141" s="5"/>
    </row>
    <row r="142" spans="3:4" ht="12" hidden="1">
      <c r="C142" s="5"/>
      <c r="D142" s="5"/>
    </row>
    <row r="143" spans="3:4" ht="12" hidden="1">
      <c r="C143" s="5"/>
      <c r="D143" s="5"/>
    </row>
    <row r="144" spans="3:4" ht="12" hidden="1">
      <c r="C144" s="5"/>
      <c r="D144" s="5"/>
    </row>
    <row r="145" spans="3:4" ht="12" hidden="1">
      <c r="C145" s="5"/>
      <c r="D145" s="5"/>
    </row>
    <row r="146" spans="3:4" ht="12" hidden="1">
      <c r="C146" s="5"/>
      <c r="D146" s="5"/>
    </row>
    <row r="147" spans="3:4" ht="12" hidden="1">
      <c r="C147" s="5"/>
      <c r="D147" s="5"/>
    </row>
    <row r="148" spans="3:4" ht="12" hidden="1">
      <c r="C148" s="5"/>
      <c r="D148" s="5"/>
    </row>
    <row r="149" spans="3:4" ht="12" hidden="1">
      <c r="C149" s="5"/>
      <c r="D149" s="5"/>
    </row>
    <row r="150" spans="3:4" ht="12" hidden="1">
      <c r="C150" s="5"/>
      <c r="D150" s="5"/>
    </row>
    <row r="151" spans="3:4" ht="12" hidden="1">
      <c r="C151" s="5"/>
      <c r="D151" s="5"/>
    </row>
    <row r="152" spans="3:4" ht="12" hidden="1">
      <c r="C152" s="5"/>
      <c r="D152" s="5"/>
    </row>
    <row r="153" spans="3:4" ht="12" hidden="1">
      <c r="C153" s="5"/>
      <c r="D153" s="5"/>
    </row>
    <row r="154" spans="3:4" ht="12" hidden="1">
      <c r="C154" s="5"/>
      <c r="D154" s="5"/>
    </row>
    <row r="155" spans="3:4" ht="12" hidden="1">
      <c r="C155" s="5"/>
      <c r="D155" s="5"/>
    </row>
    <row r="156" spans="3:4" ht="12" hidden="1">
      <c r="C156" s="5"/>
      <c r="D156" s="5"/>
    </row>
    <row r="157" spans="3:4" ht="12" hidden="1">
      <c r="C157" s="5"/>
      <c r="D157" s="5"/>
    </row>
    <row r="158" spans="3:4" ht="12" hidden="1">
      <c r="C158" s="5"/>
      <c r="D158" s="5"/>
    </row>
    <row r="159" spans="3:4" ht="12" hidden="1">
      <c r="C159" s="5"/>
      <c r="D159" s="5"/>
    </row>
    <row r="160" spans="3:4" ht="12" hidden="1">
      <c r="C160" s="5"/>
      <c r="D160" s="5"/>
    </row>
    <row r="161" spans="3:4" ht="12" hidden="1">
      <c r="C161" s="5"/>
      <c r="D161" s="5"/>
    </row>
    <row r="162" spans="3:4" ht="12" hidden="1">
      <c r="C162" s="5"/>
      <c r="D162" s="5"/>
    </row>
    <row r="163" spans="3:4" ht="12" hidden="1">
      <c r="C163" s="5"/>
      <c r="D163" s="5"/>
    </row>
    <row r="164" spans="3:4" ht="12" hidden="1">
      <c r="C164" s="5"/>
      <c r="D164" s="5"/>
    </row>
    <row r="165" spans="3:4" ht="12" hidden="1">
      <c r="C165" s="5"/>
      <c r="D165" s="5"/>
    </row>
    <row r="166" spans="3:4" ht="12" hidden="1">
      <c r="C166" s="5"/>
      <c r="D166" s="5"/>
    </row>
    <row r="167" spans="3:4" ht="12" hidden="1">
      <c r="C167" s="5"/>
      <c r="D167" s="5"/>
    </row>
    <row r="168" spans="3:4" ht="12" hidden="1">
      <c r="C168" s="5"/>
      <c r="D168" s="5"/>
    </row>
    <row r="169" spans="3:4" ht="12" hidden="1">
      <c r="C169" s="5"/>
      <c r="D169" s="5"/>
    </row>
    <row r="170" spans="3:4" ht="12" hidden="1">
      <c r="C170" s="5"/>
      <c r="D170" s="5"/>
    </row>
    <row r="171" spans="3:4" ht="12" hidden="1">
      <c r="C171" s="5"/>
      <c r="D171" s="5"/>
    </row>
    <row r="172" spans="3:4" ht="12" hidden="1">
      <c r="C172" s="5"/>
      <c r="D172" s="5"/>
    </row>
    <row r="173" spans="3:4" ht="12" hidden="1">
      <c r="C173" s="5"/>
      <c r="D173" s="5"/>
    </row>
    <row r="174" spans="3:4" ht="12" hidden="1">
      <c r="C174" s="5"/>
      <c r="D174" s="5"/>
    </row>
    <row r="175" spans="3:4" ht="12" hidden="1">
      <c r="C175" s="5"/>
      <c r="D175" s="5"/>
    </row>
    <row r="176" spans="3:4" ht="12" hidden="1">
      <c r="C176" s="5"/>
      <c r="D176" s="5"/>
    </row>
    <row r="177" ht="12" hidden="1"/>
    <row r="178" ht="12" hidden="1"/>
    <row r="179" ht="12" hidden="1"/>
    <row r="180" ht="12" hidden="1"/>
  </sheetData>
  <sheetProtection password="F39F" sheet="1" objects="1" scenarios="1"/>
  <mergeCells count="4">
    <mergeCell ref="C3:E3"/>
    <mergeCell ref="C4:D4"/>
    <mergeCell ref="D12:E12"/>
    <mergeCell ref="C8:E8"/>
  </mergeCells>
  <dataValidations count="6">
    <dataValidation type="custom" operator="greaterThan" showInputMessage="1" showErrorMessage="1" error="Must be &gt; 0 and &gt; Start" sqref="D9">
      <formula1>AND(D9&gt;0,D9&gt;D10)</formula1>
    </dataValidation>
    <dataValidation type="custom" operator="greaterThan" showInputMessage="1" showErrorMessage="1" error="Must be &gt; 0 and &lt; Stop" sqref="D10">
      <formula1>AND(D10&gt;0,D10&lt;D9)</formula1>
    </dataValidation>
    <dataValidation type="list" allowBlank="1" showInputMessage="1" showErrorMessage="1" sqref="E6">
      <formula1>$C$120:$C$122</formula1>
    </dataValidation>
    <dataValidation type="decimal" showInputMessage="1" showErrorMessage="1" error="1 &lt;= Order &lt;= 50" sqref="D5">
      <formula1>1</formula1>
      <formula2>50</formula2>
    </dataValidation>
    <dataValidation type="decimal" showInputMessage="1" showErrorMessage="1" error="0.001 &lt;= Ripple &lt;= 10" sqref="D7">
      <formula1>0.001</formula1>
      <formula2>10</formula2>
    </dataValidation>
    <dataValidation type="decimal" operator="greaterThan" showInputMessage="1" showErrorMessage="1" error="Must be &gt; 0" sqref="D6">
      <formula1>0</formula1>
    </dataValidation>
  </dataValidations>
  <hyperlinks>
    <hyperlink ref="L3" r:id="rId1" tooltip="Click here to check for updates to this calculator" display="Click here to check for Updates"/>
    <hyperlink ref="H3" r:id="rId2" display="Click here for the online version (Butterworth)"/>
    <hyperlink ref="H4" r:id="rId3" display="Click here for the online version (Chebyshev)"/>
    <hyperlink ref="M23" location="Home!D7" tooltip="Click to return to title page with calculator list" display="Home"/>
  </hyperlinks>
  <printOptions/>
  <pageMargins left="0.5" right="0.5" top="0.5" bottom="0.5" header="0.5" footer="0.5"/>
  <pageSetup fitToHeight="1" fitToWidth="1" horizontalDpi="600" verticalDpi="600" orientation="portrait" scale="56" r:id="rId7"/>
  <drawing r:id="rId6"/>
  <legacyDrawing r:id="rId5"/>
</worksheet>
</file>

<file path=xl/worksheets/sheet8.xml><?xml version="1.0" encoding="utf-8"?>
<worksheet xmlns="http://schemas.openxmlformats.org/spreadsheetml/2006/main" xmlns:r="http://schemas.openxmlformats.org/officeDocument/2006/relationships">
  <sheetPr codeName="Sheet3">
    <pageSetUpPr fitToPage="1"/>
  </sheetPr>
  <dimension ref="B1:N176"/>
  <sheetViews>
    <sheetView showGridLines="0" showRowColHeaders="0" workbookViewId="0" topLeftCell="A1">
      <selection activeCell="D5" sqref="D5"/>
    </sheetView>
  </sheetViews>
  <sheetFormatPr defaultColWidth="9.140625" defaultRowHeight="12" zeroHeight="1"/>
  <cols>
    <col min="1" max="1" width="0.5625" style="148" customWidth="1"/>
    <col min="2" max="2" width="1.1484375" style="149" customWidth="1"/>
    <col min="3" max="5" width="10.7109375" style="135" customWidth="1"/>
    <col min="6" max="6" width="2.7109375" style="149" customWidth="1"/>
    <col min="7" max="13" width="9.140625" style="149" customWidth="1"/>
    <col min="14" max="14" width="1.1484375" style="149" customWidth="1"/>
    <col min="15" max="15" width="0.5625" style="149" customWidth="1"/>
    <col min="16" max="16384" width="0" style="149" hidden="1" customWidth="1"/>
  </cols>
  <sheetData>
    <row r="1" spans="3:5" ht="3" customHeight="1" thickBot="1">
      <c r="C1" s="149"/>
      <c r="D1" s="149"/>
      <c r="E1" s="149"/>
    </row>
    <row r="2" spans="2:14" ht="6" customHeight="1" thickTop="1">
      <c r="B2" s="150"/>
      <c r="C2" s="151"/>
      <c r="D2" s="151"/>
      <c r="E2" s="151"/>
      <c r="F2" s="151"/>
      <c r="G2" s="151"/>
      <c r="H2" s="151"/>
      <c r="I2" s="151"/>
      <c r="J2" s="151"/>
      <c r="K2" s="151"/>
      <c r="L2" s="151"/>
      <c r="M2" s="151"/>
      <c r="N2" s="152"/>
    </row>
    <row r="3" spans="2:14" ht="12.75">
      <c r="B3" s="153"/>
      <c r="C3" s="494" t="s">
        <v>62</v>
      </c>
      <c r="D3" s="494"/>
      <c r="E3" s="494"/>
      <c r="F3" s="28"/>
      <c r="H3" s="147" t="s">
        <v>134</v>
      </c>
      <c r="I3" s="146"/>
      <c r="J3" s="146"/>
      <c r="K3" s="28"/>
      <c r="L3" s="147" t="s">
        <v>132</v>
      </c>
      <c r="M3" s="146"/>
      <c r="N3" s="154"/>
    </row>
    <row r="4" spans="2:14" ht="12">
      <c r="B4" s="153"/>
      <c r="C4" s="495"/>
      <c r="D4" s="495"/>
      <c r="E4" s="141"/>
      <c r="F4" s="155"/>
      <c r="G4" s="155"/>
      <c r="H4" s="147" t="s">
        <v>135</v>
      </c>
      <c r="I4" s="155"/>
      <c r="J4" s="155"/>
      <c r="K4" s="155"/>
      <c r="L4" s="155"/>
      <c r="M4" s="155"/>
      <c r="N4" s="154"/>
    </row>
    <row r="5" spans="2:14" ht="12">
      <c r="B5" s="153"/>
      <c r="C5" s="89" t="s">
        <v>3</v>
      </c>
      <c r="D5" s="48">
        <v>4</v>
      </c>
      <c r="E5" s="141"/>
      <c r="F5" s="155"/>
      <c r="G5" s="155"/>
      <c r="H5" s="155"/>
      <c r="I5" s="155"/>
      <c r="J5" s="155"/>
      <c r="K5" s="155"/>
      <c r="L5" s="155"/>
      <c r="M5" s="155"/>
      <c r="N5" s="154"/>
    </row>
    <row r="6" spans="2:14" ht="12">
      <c r="B6" s="153"/>
      <c r="C6" s="89" t="s">
        <v>63</v>
      </c>
      <c r="D6" s="48">
        <v>30</v>
      </c>
      <c r="E6" s="161" t="s">
        <v>37</v>
      </c>
      <c r="F6" s="155"/>
      <c r="G6" s="155"/>
      <c r="H6" s="155"/>
      <c r="I6" s="155"/>
      <c r="J6" s="155"/>
      <c r="K6" s="155"/>
      <c r="L6" s="155"/>
      <c r="M6" s="155"/>
      <c r="N6" s="154"/>
    </row>
    <row r="7" spans="2:14" ht="12">
      <c r="B7" s="153"/>
      <c r="C7" s="89" t="s">
        <v>58</v>
      </c>
      <c r="D7" s="48">
        <v>0.5</v>
      </c>
      <c r="E7" s="141" t="s">
        <v>133</v>
      </c>
      <c r="F7" s="155"/>
      <c r="G7" s="155"/>
      <c r="H7" s="155"/>
      <c r="I7" s="155"/>
      <c r="J7" s="155"/>
      <c r="K7" s="155"/>
      <c r="L7" s="155"/>
      <c r="M7" s="155"/>
      <c r="N7" s="154"/>
    </row>
    <row r="8" spans="2:14" ht="12.75" thickBot="1">
      <c r="B8" s="153"/>
      <c r="C8" s="497" t="s">
        <v>4</v>
      </c>
      <c r="D8" s="497"/>
      <c r="E8" s="497"/>
      <c r="F8" s="155"/>
      <c r="G8" s="155"/>
      <c r="H8" s="155"/>
      <c r="I8" s="155"/>
      <c r="J8" s="155"/>
      <c r="K8" s="155"/>
      <c r="L8" s="155"/>
      <c r="M8" s="155"/>
      <c r="N8" s="154"/>
    </row>
    <row r="9" spans="2:14" ht="12">
      <c r="B9" s="153"/>
      <c r="C9" s="89" t="s">
        <v>51</v>
      </c>
      <c r="D9" s="98">
        <v>80</v>
      </c>
      <c r="E9" s="141" t="str">
        <f>E6</f>
        <v>MHz</v>
      </c>
      <c r="F9" s="155"/>
      <c r="G9" s="155"/>
      <c r="H9" s="155"/>
      <c r="I9" s="155"/>
      <c r="J9" s="155"/>
      <c r="K9" s="155"/>
      <c r="L9" s="155"/>
      <c r="M9" s="155"/>
      <c r="N9" s="154"/>
    </row>
    <row r="10" spans="2:14" ht="12">
      <c r="B10" s="153"/>
      <c r="C10" s="89" t="s">
        <v>50</v>
      </c>
      <c r="D10" s="48">
        <v>0</v>
      </c>
      <c r="E10" s="141" t="str">
        <f>E6</f>
        <v>MHz</v>
      </c>
      <c r="F10" s="155"/>
      <c r="G10" s="155"/>
      <c r="H10" s="155"/>
      <c r="I10" s="155"/>
      <c r="J10" s="155"/>
      <c r="K10" s="155"/>
      <c r="L10" s="155"/>
      <c r="M10" s="155"/>
      <c r="N10" s="154"/>
    </row>
    <row r="11" spans="2:14" ht="12.75" thickBot="1">
      <c r="B11" s="153"/>
      <c r="C11" s="90" t="s">
        <v>52</v>
      </c>
      <c r="D11" s="49">
        <f>(D9-D10)/100</f>
        <v>0.8</v>
      </c>
      <c r="E11" s="156" t="str">
        <f>E6</f>
        <v>MHz</v>
      </c>
      <c r="F11" s="155"/>
      <c r="G11" s="155"/>
      <c r="H11" s="155"/>
      <c r="I11" s="155"/>
      <c r="J11" s="155"/>
      <c r="K11" s="155"/>
      <c r="L11" s="155"/>
      <c r="M11" s="155"/>
      <c r="N11" s="154"/>
    </row>
    <row r="12" spans="2:14" ht="12.75" thickTop="1">
      <c r="B12" s="153"/>
      <c r="C12" s="72"/>
      <c r="D12" s="496" t="s">
        <v>7</v>
      </c>
      <c r="E12" s="496"/>
      <c r="F12" s="155"/>
      <c r="G12" s="155"/>
      <c r="H12" s="155"/>
      <c r="I12" s="155"/>
      <c r="J12" s="155"/>
      <c r="K12" s="155"/>
      <c r="L12" s="155"/>
      <c r="M12" s="155"/>
      <c r="N12" s="154"/>
    </row>
    <row r="13" spans="2:14" ht="12.75" thickBot="1">
      <c r="B13" s="153"/>
      <c r="C13" s="50" t="str">
        <f>"Freq ("&amp;E6&amp;")"</f>
        <v>Freq (MHz)</v>
      </c>
      <c r="D13" s="50" t="s">
        <v>59</v>
      </c>
      <c r="E13" s="50" t="s">
        <v>60</v>
      </c>
      <c r="F13" s="155"/>
      <c r="G13" s="155"/>
      <c r="H13" s="155"/>
      <c r="I13" s="155"/>
      <c r="J13" s="155"/>
      <c r="K13" s="155"/>
      <c r="L13" s="155"/>
      <c r="M13" s="155"/>
      <c r="N13" s="154"/>
    </row>
    <row r="14" spans="2:14" ht="12">
      <c r="B14" s="153"/>
      <c r="C14" s="54">
        <f>D10</f>
        <v>0</v>
      </c>
      <c r="D14" s="54">
        <f aca="true" t="shared" si="0" ref="D14:D77">-10*LOG(1+(C14/$D$6)^(2*$D$5))</f>
        <v>0</v>
      </c>
      <c r="E14" s="54">
        <f aca="true" t="shared" si="1" ref="E14:E45">IF(C14/$D$6&lt;1,-10*LOG(1+$E$120*(COS($D$5*ACOS(C14/$D$6)))^2),-10*LOG(1+$E$120*(COSH($D$5*ACOSH(C14/$D$6)))^2))</f>
        <v>-0.5000000000000006</v>
      </c>
      <c r="F14" s="155"/>
      <c r="G14" s="155"/>
      <c r="H14" s="155"/>
      <c r="I14" s="155"/>
      <c r="J14" s="155"/>
      <c r="K14" s="155"/>
      <c r="L14" s="155"/>
      <c r="M14" s="155"/>
      <c r="N14" s="154"/>
    </row>
    <row r="15" spans="2:14" ht="12">
      <c r="B15" s="153"/>
      <c r="C15" s="54">
        <f aca="true" t="shared" si="2" ref="C15:C78">C14+$D$11</f>
        <v>0.8</v>
      </c>
      <c r="D15" s="54">
        <f t="shared" si="0"/>
        <v>-1.1109052414692446E-12</v>
      </c>
      <c r="E15" s="54">
        <f t="shared" si="1"/>
        <v>-0.4946421568571967</v>
      </c>
      <c r="F15" s="155"/>
      <c r="G15" s="155"/>
      <c r="H15" s="155"/>
      <c r="I15" s="155"/>
      <c r="J15" s="155"/>
      <c r="K15" s="155"/>
      <c r="L15" s="155"/>
      <c r="M15" s="155"/>
      <c r="N15" s="154"/>
    </row>
    <row r="16" spans="2:14" ht="12">
      <c r="B16" s="153"/>
      <c r="C16" s="54">
        <f t="shared" si="2"/>
        <v>1.6</v>
      </c>
      <c r="D16" s="54">
        <f t="shared" si="0"/>
        <v>-2.8429820204260195E-10</v>
      </c>
      <c r="E16" s="54">
        <f t="shared" si="1"/>
        <v>-0.47875794950278916</v>
      </c>
      <c r="F16" s="155"/>
      <c r="G16" s="155"/>
      <c r="H16" s="155"/>
      <c r="I16" s="155"/>
      <c r="J16" s="155"/>
      <c r="K16" s="155"/>
      <c r="L16" s="155"/>
      <c r="M16" s="155"/>
      <c r="N16" s="154"/>
    </row>
    <row r="17" spans="2:14" ht="12">
      <c r="B17" s="153"/>
      <c r="C17" s="54">
        <f t="shared" si="2"/>
        <v>2.4000000000000004</v>
      </c>
      <c r="D17" s="54">
        <f t="shared" si="0"/>
        <v>-7.286251965086644E-09</v>
      </c>
      <c r="E17" s="54">
        <f t="shared" si="1"/>
        <v>-0.45291486793242325</v>
      </c>
      <c r="F17" s="155"/>
      <c r="G17" s="155"/>
      <c r="H17" s="155"/>
      <c r="I17" s="155"/>
      <c r="J17" s="155"/>
      <c r="K17" s="155"/>
      <c r="L17" s="155"/>
      <c r="M17" s="155"/>
      <c r="N17" s="154"/>
    </row>
    <row r="18" spans="2:14" ht="12">
      <c r="B18" s="153"/>
      <c r="C18" s="54">
        <f t="shared" si="2"/>
        <v>3.2</v>
      </c>
      <c r="D18" s="54">
        <f t="shared" si="0"/>
        <v>-7.278034297276098E-08</v>
      </c>
      <c r="E18" s="54">
        <f t="shared" si="1"/>
        <v>-0.4180564481812343</v>
      </c>
      <c r="F18" s="155"/>
      <c r="G18" s="155"/>
      <c r="H18" s="155"/>
      <c r="I18" s="155"/>
      <c r="J18" s="155"/>
      <c r="K18" s="155"/>
      <c r="L18" s="155"/>
      <c r="M18" s="155"/>
      <c r="N18" s="154"/>
    </row>
    <row r="19" spans="2:14" ht="12">
      <c r="B19" s="153"/>
      <c r="C19" s="54">
        <f t="shared" si="2"/>
        <v>4</v>
      </c>
      <c r="D19" s="54">
        <f t="shared" si="0"/>
        <v>-4.3380462939009175E-07</v>
      </c>
      <c r="E19" s="54">
        <f t="shared" si="1"/>
        <v>-0.3754964371214532</v>
      </c>
      <c r="F19" s="155"/>
      <c r="G19" s="155"/>
      <c r="H19" s="155"/>
      <c r="I19" s="155"/>
      <c r="J19" s="155"/>
      <c r="K19" s="155"/>
      <c r="L19" s="155"/>
      <c r="M19" s="155"/>
      <c r="N19" s="154"/>
    </row>
    <row r="20" spans="2:14" ht="12">
      <c r="B20" s="153"/>
      <c r="C20" s="54">
        <f t="shared" si="2"/>
        <v>4.8</v>
      </c>
      <c r="D20" s="54">
        <f t="shared" si="0"/>
        <v>-1.8652801956721577E-06</v>
      </c>
      <c r="E20" s="54">
        <f t="shared" si="1"/>
        <v>-0.3269058590466697</v>
      </c>
      <c r="F20" s="155"/>
      <c r="G20" s="155"/>
      <c r="H20" s="155"/>
      <c r="I20" s="155"/>
      <c r="J20" s="155"/>
      <c r="K20" s="155"/>
      <c r="L20" s="155"/>
      <c r="M20" s="155"/>
      <c r="N20" s="154"/>
    </row>
    <row r="21" spans="2:14" ht="12">
      <c r="B21" s="153"/>
      <c r="C21" s="54">
        <f t="shared" si="2"/>
        <v>5.6</v>
      </c>
      <c r="D21" s="54">
        <f t="shared" si="0"/>
        <v>-6.402036848614262E-06</v>
      </c>
      <c r="E21" s="54">
        <f t="shared" si="1"/>
        <v>-0.27428844675328956</v>
      </c>
      <c r="F21" s="155"/>
      <c r="G21" s="155"/>
      <c r="H21" s="155"/>
      <c r="I21" s="155"/>
      <c r="J21" s="155"/>
      <c r="K21" s="155"/>
      <c r="L21" s="155"/>
      <c r="M21" s="155"/>
      <c r="N21" s="154"/>
    </row>
    <row r="22" spans="2:14" ht="12">
      <c r="B22" s="153"/>
      <c r="C22" s="54">
        <f t="shared" si="2"/>
        <v>6.3999999999999995</v>
      </c>
      <c r="D22" s="54">
        <f t="shared" si="0"/>
        <v>-1.863172793214651E-05</v>
      </c>
      <c r="E22" s="54">
        <f t="shared" si="1"/>
        <v>-0.21993911485680667</v>
      </c>
      <c r="F22" s="155"/>
      <c r="G22" s="155"/>
      <c r="H22" s="155"/>
      <c r="I22" s="155"/>
      <c r="J22" s="155"/>
      <c r="K22" s="155"/>
      <c r="L22" s="155"/>
      <c r="M22" s="155"/>
      <c r="N22" s="154"/>
    </row>
    <row r="23" spans="2:14" ht="12">
      <c r="B23" s="153"/>
      <c r="C23" s="54">
        <f t="shared" si="2"/>
        <v>7.199999999999999</v>
      </c>
      <c r="D23" s="54">
        <f t="shared" si="0"/>
        <v>-4.780483843466815E-05</v>
      </c>
      <c r="E23" s="54">
        <f t="shared" si="1"/>
        <v>-0.166380044285102</v>
      </c>
      <c r="F23" s="155"/>
      <c r="G23" s="155"/>
      <c r="H23" s="155"/>
      <c r="I23" s="155"/>
      <c r="J23" s="155"/>
      <c r="K23" s="155"/>
      <c r="L23" s="155"/>
      <c r="M23" s="420" t="s">
        <v>197</v>
      </c>
      <c r="N23" s="154"/>
    </row>
    <row r="24" spans="2:14" ht="12">
      <c r="B24" s="153"/>
      <c r="C24" s="54">
        <f t="shared" si="2"/>
        <v>7.999999999999999</v>
      </c>
      <c r="D24" s="54">
        <f t="shared" si="0"/>
        <v>-0.00011105257084622806</v>
      </c>
      <c r="E24" s="54">
        <f t="shared" si="1"/>
        <v>-0.11626989742793982</v>
      </c>
      <c r="F24" s="155"/>
      <c r="G24" s="155"/>
      <c r="H24" s="155"/>
      <c r="I24" s="155"/>
      <c r="J24" s="155"/>
      <c r="K24" s="155"/>
      <c r="L24" s="155"/>
      <c r="M24" s="155"/>
      <c r="N24" s="154"/>
    </row>
    <row r="25" spans="2:14" ht="12">
      <c r="B25" s="153"/>
      <c r="C25" s="54">
        <f t="shared" si="2"/>
        <v>8.799999999999999</v>
      </c>
      <c r="D25" s="54">
        <f t="shared" si="0"/>
        <v>-0.0002380475676845197</v>
      </c>
      <c r="E25" s="54">
        <f t="shared" si="1"/>
        <v>-0.07228405235807973</v>
      </c>
      <c r="F25" s="155"/>
      <c r="G25" s="155"/>
      <c r="H25" s="155"/>
      <c r="I25" s="155"/>
      <c r="J25" s="155"/>
      <c r="K25" s="155"/>
      <c r="L25" s="155"/>
      <c r="M25" s="155"/>
      <c r="N25" s="154"/>
    </row>
    <row r="26" spans="2:14" ht="12">
      <c r="B26" s="153"/>
      <c r="C26" s="54">
        <f t="shared" si="2"/>
        <v>9.6</v>
      </c>
      <c r="D26" s="54">
        <f t="shared" si="0"/>
        <v>-0.00047748558316490383</v>
      </c>
      <c r="E26" s="54">
        <f t="shared" si="1"/>
        <v>-0.03696769214858785</v>
      </c>
      <c r="F26" s="155"/>
      <c r="G26" s="155"/>
      <c r="H26" s="155"/>
      <c r="I26" s="155"/>
      <c r="J26" s="155"/>
      <c r="K26" s="155"/>
      <c r="L26" s="155"/>
      <c r="M26" s="155"/>
      <c r="N26" s="154"/>
    </row>
    <row r="27" spans="2:14" ht="12">
      <c r="B27" s="153"/>
      <c r="C27" s="54">
        <f t="shared" si="2"/>
        <v>10.4</v>
      </c>
      <c r="D27" s="54">
        <f t="shared" si="0"/>
        <v>-0.0009058070505635562</v>
      </c>
      <c r="E27" s="54">
        <f t="shared" si="1"/>
        <v>-0.012568853154314236</v>
      </c>
      <c r="F27" s="155"/>
      <c r="G27" s="155"/>
      <c r="H27" s="155"/>
      <c r="I27" s="155"/>
      <c r="J27" s="155"/>
      <c r="K27" s="155"/>
      <c r="L27" s="155"/>
      <c r="M27" s="155"/>
      <c r="N27" s="154"/>
    </row>
    <row r="28" spans="2:14" ht="12">
      <c r="B28" s="153"/>
      <c r="C28" s="54">
        <f t="shared" si="2"/>
        <v>11.200000000000001</v>
      </c>
      <c r="D28" s="54">
        <f t="shared" si="0"/>
        <v>-0.0016386134739916516</v>
      </c>
      <c r="E28" s="54">
        <f t="shared" si="1"/>
        <v>-0.0008642748930445972</v>
      </c>
      <c r="F28" s="155"/>
      <c r="G28" s="155"/>
      <c r="H28" s="155"/>
      <c r="I28" s="155"/>
      <c r="J28" s="155"/>
      <c r="K28" s="155"/>
      <c r="L28" s="155"/>
      <c r="M28" s="155"/>
      <c r="N28" s="154"/>
    </row>
    <row r="29" spans="2:14" ht="12">
      <c r="B29" s="153"/>
      <c r="C29" s="54">
        <f t="shared" si="2"/>
        <v>12.000000000000002</v>
      </c>
      <c r="D29" s="54">
        <f t="shared" si="0"/>
        <v>-0.002845260083579888</v>
      </c>
      <c r="E29" s="54">
        <f t="shared" si="1"/>
        <v>-0.0029956820622805244</v>
      </c>
      <c r="F29" s="155"/>
      <c r="G29" s="155"/>
      <c r="H29" s="155"/>
      <c r="I29" s="155"/>
      <c r="J29" s="155"/>
      <c r="K29" s="155"/>
      <c r="L29" s="155"/>
      <c r="M29" s="155"/>
      <c r="N29" s="154"/>
    </row>
    <row r="30" spans="2:14" ht="12">
      <c r="B30" s="153"/>
      <c r="C30" s="54">
        <f t="shared" si="2"/>
        <v>12.800000000000002</v>
      </c>
      <c r="D30" s="54">
        <f t="shared" si="0"/>
        <v>-0.004767115267368035</v>
      </c>
      <c r="E30" s="54">
        <f t="shared" si="1"/>
        <v>-0.01933630148593327</v>
      </c>
      <c r="F30" s="155"/>
      <c r="G30" s="155"/>
      <c r="H30" s="155"/>
      <c r="I30" s="155"/>
      <c r="J30" s="155"/>
      <c r="K30" s="155"/>
      <c r="L30" s="155"/>
      <c r="M30" s="155"/>
      <c r="N30" s="154"/>
    </row>
    <row r="31" spans="2:14" ht="12">
      <c r="B31" s="153"/>
      <c r="C31" s="54">
        <f t="shared" si="2"/>
        <v>13.600000000000003</v>
      </c>
      <c r="D31" s="54">
        <f t="shared" si="0"/>
        <v>-0.007739955882681049</v>
      </c>
      <c r="E31" s="54">
        <f t="shared" si="1"/>
        <v>-0.04940568771824334</v>
      </c>
      <c r="F31" s="155"/>
      <c r="G31" s="155"/>
      <c r="H31" s="155"/>
      <c r="I31" s="155"/>
      <c r="J31" s="155"/>
      <c r="K31" s="155"/>
      <c r="L31" s="155"/>
      <c r="M31" s="155"/>
      <c r="N31" s="154"/>
    </row>
    <row r="32" spans="2:14" ht="12">
      <c r="B32" s="153"/>
      <c r="C32" s="54">
        <f t="shared" si="2"/>
        <v>14.400000000000004</v>
      </c>
      <c r="D32" s="54">
        <f t="shared" si="0"/>
        <v>-0.012220895268117923</v>
      </c>
      <c r="E32" s="54">
        <f t="shared" si="1"/>
        <v>-0.09184507295685755</v>
      </c>
      <c r="F32" s="155"/>
      <c r="G32" s="155"/>
      <c r="H32" s="155"/>
      <c r="I32" s="155"/>
      <c r="J32" s="155"/>
      <c r="K32" s="155"/>
      <c r="L32" s="155"/>
      <c r="M32" s="155"/>
      <c r="N32" s="154"/>
    </row>
    <row r="33" spans="2:14" ht="12">
      <c r="B33" s="153"/>
      <c r="C33" s="54">
        <f t="shared" si="2"/>
        <v>15.200000000000005</v>
      </c>
      <c r="D33" s="54">
        <f t="shared" si="0"/>
        <v>-0.018820087268726544</v>
      </c>
      <c r="E33" s="54">
        <f t="shared" si="1"/>
        <v>-0.1444566537139751</v>
      </c>
      <c r="F33" s="155"/>
      <c r="G33" s="155"/>
      <c r="H33" s="155"/>
      <c r="I33" s="155"/>
      <c r="J33" s="155"/>
      <c r="K33" s="155"/>
      <c r="L33" s="155"/>
      <c r="M33" s="155"/>
      <c r="N33" s="154"/>
    </row>
    <row r="34" spans="2:14" ht="12">
      <c r="B34" s="153"/>
      <c r="C34" s="54">
        <f t="shared" si="2"/>
        <v>16.000000000000004</v>
      </c>
      <c r="D34" s="54">
        <f t="shared" si="0"/>
        <v>-0.02833717197017257</v>
      </c>
      <c r="E34" s="54">
        <f t="shared" si="1"/>
        <v>-0.20430081130925595</v>
      </c>
      <c r="F34" s="155"/>
      <c r="G34" s="155"/>
      <c r="H34" s="155"/>
      <c r="I34" s="155"/>
      <c r="J34" s="155"/>
      <c r="K34" s="155"/>
      <c r="L34" s="155"/>
      <c r="M34" s="155"/>
      <c r="N34" s="154"/>
    </row>
    <row r="35" spans="2:14" ht="12">
      <c r="B35" s="153"/>
      <c r="C35" s="54">
        <f t="shared" si="2"/>
        <v>16.800000000000004</v>
      </c>
      <c r="D35" s="54">
        <f t="shared" si="0"/>
        <v>-0.04180197030027509</v>
      </c>
      <c r="E35" s="54">
        <f t="shared" si="1"/>
        <v>-0.2678378886931033</v>
      </c>
      <c r="F35" s="155"/>
      <c r="G35" s="155"/>
      <c r="H35" s="155"/>
      <c r="I35" s="155"/>
      <c r="J35" s="155"/>
      <c r="K35" s="155"/>
      <c r="L35" s="155"/>
      <c r="M35" s="155"/>
      <c r="N35" s="154"/>
    </row>
    <row r="36" spans="2:14" ht="12">
      <c r="B36" s="153"/>
      <c r="C36" s="54">
        <f t="shared" si="2"/>
        <v>17.600000000000005</v>
      </c>
      <c r="D36" s="54">
        <f t="shared" si="0"/>
        <v>-0.060518226292001036</v>
      </c>
      <c r="E36" s="54">
        <f t="shared" si="1"/>
        <v>-0.3310978078201518</v>
      </c>
      <c r="F36" s="155"/>
      <c r="G36" s="155"/>
      <c r="H36" s="155"/>
      <c r="I36" s="155"/>
      <c r="J36" s="155"/>
      <c r="K36" s="155"/>
      <c r="L36" s="155"/>
      <c r="M36" s="155"/>
      <c r="N36" s="154"/>
    </row>
    <row r="37" spans="2:14" ht="12">
      <c r="B37" s="153"/>
      <c r="C37" s="54">
        <f t="shared" si="2"/>
        <v>18.400000000000006</v>
      </c>
      <c r="D37" s="54">
        <f t="shared" si="0"/>
        <v>-0.086108165273849</v>
      </c>
      <c r="E37" s="54">
        <f t="shared" si="1"/>
        <v>-0.3898622448724327</v>
      </c>
      <c r="F37" s="155"/>
      <c r="G37" s="155"/>
      <c r="H37" s="155"/>
      <c r="I37" s="155"/>
      <c r="J37" s="155"/>
      <c r="K37" s="155"/>
      <c r="L37" s="155"/>
      <c r="M37" s="155"/>
      <c r="N37" s="154"/>
    </row>
    <row r="38" spans="2:14" ht="12">
      <c r="B38" s="153"/>
      <c r="C38" s="54">
        <f t="shared" si="2"/>
        <v>19.200000000000006</v>
      </c>
      <c r="D38" s="54">
        <f t="shared" si="0"/>
        <v>-0.1205542285924726</v>
      </c>
      <c r="E38" s="54">
        <f t="shared" si="1"/>
        <v>-0.4398498104205356</v>
      </c>
      <c r="F38" s="155"/>
      <c r="G38" s="155"/>
      <c r="H38" s="155"/>
      <c r="I38" s="155"/>
      <c r="J38" s="155"/>
      <c r="K38" s="155"/>
      <c r="L38" s="155"/>
      <c r="M38" s="155"/>
      <c r="N38" s="154"/>
    </row>
    <row r="39" spans="2:14" ht="12">
      <c r="B39" s="153"/>
      <c r="C39" s="54">
        <f t="shared" si="2"/>
        <v>20.000000000000007</v>
      </c>
      <c r="D39" s="54">
        <f t="shared" si="0"/>
        <v>-0.16623256241156767</v>
      </c>
      <c r="E39" s="54">
        <f t="shared" si="1"/>
        <v>-0.47690361136460074</v>
      </c>
      <c r="F39" s="155"/>
      <c r="G39" s="155"/>
      <c r="H39" s="155"/>
      <c r="I39" s="155"/>
      <c r="J39" s="155"/>
      <c r="K39" s="155"/>
      <c r="L39" s="155"/>
      <c r="M39" s="155"/>
      <c r="N39" s="154"/>
    </row>
    <row r="40" spans="2:14" ht="12">
      <c r="B40" s="153"/>
      <c r="C40" s="54">
        <f t="shared" si="2"/>
        <v>20.800000000000008</v>
      </c>
      <c r="D40" s="54">
        <f t="shared" si="0"/>
        <v>-0.22593080070228114</v>
      </c>
      <c r="E40" s="54">
        <f t="shared" si="1"/>
        <v>-0.4971917367056022</v>
      </c>
      <c r="F40" s="155"/>
      <c r="G40" s="155"/>
      <c r="H40" s="155"/>
      <c r="I40" s="155"/>
      <c r="J40" s="155"/>
      <c r="K40" s="155"/>
      <c r="L40" s="155"/>
      <c r="M40" s="155"/>
      <c r="N40" s="154"/>
    </row>
    <row r="41" spans="2:14" ht="12">
      <c r="B41" s="153"/>
      <c r="C41" s="54">
        <f t="shared" si="2"/>
        <v>21.60000000000001</v>
      </c>
      <c r="D41" s="54">
        <f t="shared" si="0"/>
        <v>-0.3028407134932302</v>
      </c>
      <c r="E41" s="54">
        <f t="shared" si="1"/>
        <v>-0.4974443304483744</v>
      </c>
      <c r="F41" s="155"/>
      <c r="G41" s="155"/>
      <c r="H41" s="155"/>
      <c r="I41" s="155"/>
      <c r="J41" s="155"/>
      <c r="K41" s="155"/>
      <c r="L41" s="155"/>
      <c r="M41" s="155"/>
      <c r="N41" s="154"/>
    </row>
    <row r="42" spans="2:14" ht="12">
      <c r="B42" s="153"/>
      <c r="C42" s="54">
        <f t="shared" si="2"/>
        <v>22.40000000000001</v>
      </c>
      <c r="D42" s="54">
        <f t="shared" si="0"/>
        <v>-0.4005149947949058</v>
      </c>
      <c r="E42" s="54">
        <f t="shared" si="1"/>
        <v>-0.47526651547972115</v>
      </c>
      <c r="F42" s="155"/>
      <c r="G42" s="155"/>
      <c r="H42" s="155"/>
      <c r="I42" s="155"/>
      <c r="J42" s="155"/>
      <c r="K42" s="155"/>
      <c r="L42" s="155"/>
      <c r="M42" s="155"/>
      <c r="N42" s="154"/>
    </row>
    <row r="43" spans="2:14" ht="12">
      <c r="B43" s="153"/>
      <c r="C43" s="54">
        <f t="shared" si="2"/>
        <v>23.20000000000001</v>
      </c>
      <c r="D43" s="54">
        <f t="shared" si="0"/>
        <v>-0.5227777477135874</v>
      </c>
      <c r="E43" s="54">
        <f t="shared" si="1"/>
        <v>-0.4295853122520687</v>
      </c>
      <c r="F43" s="155"/>
      <c r="G43" s="155"/>
      <c r="H43" s="155"/>
      <c r="I43" s="155"/>
      <c r="J43" s="155"/>
      <c r="K43" s="155"/>
      <c r="L43" s="155"/>
      <c r="M43" s="155"/>
      <c r="N43" s="154"/>
    </row>
    <row r="44" spans="2:14" ht="12">
      <c r="B44" s="153"/>
      <c r="C44" s="54">
        <f t="shared" si="2"/>
        <v>24.00000000000001</v>
      </c>
      <c r="D44" s="54">
        <f t="shared" si="0"/>
        <v>-0.6735811734231232</v>
      </c>
      <c r="E44" s="54">
        <f t="shared" si="1"/>
        <v>-0.36131024390215327</v>
      </c>
      <c r="F44" s="155"/>
      <c r="G44" s="155"/>
      <c r="H44" s="155"/>
      <c r="I44" s="155"/>
      <c r="J44" s="155"/>
      <c r="K44" s="155"/>
      <c r="L44" s="155"/>
      <c r="M44" s="155"/>
      <c r="N44" s="154"/>
    </row>
    <row r="45" spans="2:14" ht="12">
      <c r="B45" s="153"/>
      <c r="C45" s="54">
        <f t="shared" si="2"/>
        <v>24.80000000000001</v>
      </c>
      <c r="D45" s="54">
        <f t="shared" si="0"/>
        <v>-0.856807486612994</v>
      </c>
      <c r="E45" s="54">
        <f t="shared" si="1"/>
        <v>-0.2743053185051002</v>
      </c>
      <c r="F45" s="155"/>
      <c r="G45" s="155"/>
      <c r="H45" s="155"/>
      <c r="I45" s="155"/>
      <c r="J45" s="155"/>
      <c r="K45" s="155"/>
      <c r="L45" s="155"/>
      <c r="M45" s="155"/>
      <c r="N45" s="154"/>
    </row>
    <row r="46" spans="2:14" ht="12">
      <c r="B46" s="153"/>
      <c r="C46" s="54">
        <f t="shared" si="2"/>
        <v>25.600000000000012</v>
      </c>
      <c r="D46" s="54">
        <f t="shared" si="0"/>
        <v>-1.0760252590156454</v>
      </c>
      <c r="E46" s="54">
        <f aca="true" t="shared" si="3" ref="E46:E77">IF(C46/$D$6&lt;1,-10*LOG(1+$E$120*(COS($D$5*ACOS(C46/$D$6)))^2),-10*LOG(1+$E$120*(COSH($D$5*ACOSH(C46/$D$6)))^2))</f>
        <v>-0.1767634460790329</v>
      </c>
      <c r="F46" s="155"/>
      <c r="G46" s="155"/>
      <c r="H46" s="155"/>
      <c r="I46" s="155"/>
      <c r="J46" s="155"/>
      <c r="K46" s="155"/>
      <c r="L46" s="155"/>
      <c r="M46" s="155"/>
      <c r="N46" s="154"/>
    </row>
    <row r="47" spans="2:14" ht="12">
      <c r="B47" s="153"/>
      <c r="C47" s="54">
        <f t="shared" si="2"/>
        <v>26.400000000000013</v>
      </c>
      <c r="D47" s="54">
        <f t="shared" si="0"/>
        <v>-1.334221839649798</v>
      </c>
      <c r="E47" s="54">
        <f t="shared" si="3"/>
        <v>-0.08299034020390351</v>
      </c>
      <c r="F47" s="155"/>
      <c r="G47" s="155"/>
      <c r="H47" s="155"/>
      <c r="I47" s="155"/>
      <c r="J47" s="155"/>
      <c r="K47" s="155"/>
      <c r="L47" s="155"/>
      <c r="M47" s="155"/>
      <c r="N47" s="154"/>
    </row>
    <row r="48" spans="2:14" ht="12">
      <c r="B48" s="153"/>
      <c r="C48" s="54">
        <f t="shared" si="2"/>
        <v>27.200000000000014</v>
      </c>
      <c r="D48" s="54">
        <f t="shared" si="0"/>
        <v>-1.633545023433029</v>
      </c>
      <c r="E48" s="54">
        <f t="shared" si="3"/>
        <v>-0.01534146239433566</v>
      </c>
      <c r="F48" s="155"/>
      <c r="G48" s="155"/>
      <c r="H48" s="155"/>
      <c r="I48" s="155"/>
      <c r="J48" s="155"/>
      <c r="K48" s="155"/>
      <c r="L48" s="155"/>
      <c r="M48" s="155"/>
      <c r="N48" s="154"/>
    </row>
    <row r="49" spans="2:14" ht="12">
      <c r="B49" s="153"/>
      <c r="C49" s="54">
        <f t="shared" si="2"/>
        <v>28.000000000000014</v>
      </c>
      <c r="D49" s="54">
        <f t="shared" si="0"/>
        <v>-1.9750933697838522</v>
      </c>
      <c r="E49" s="54">
        <f t="shared" si="3"/>
        <v>-0.0054868826253136336</v>
      </c>
      <c r="F49" s="155"/>
      <c r="G49" s="155"/>
      <c r="H49" s="155"/>
      <c r="I49" s="155"/>
      <c r="J49" s="155"/>
      <c r="K49" s="155"/>
      <c r="L49" s="155"/>
      <c r="M49" s="155"/>
      <c r="N49" s="154"/>
    </row>
    <row r="50" spans="2:14" ht="12">
      <c r="B50" s="153"/>
      <c r="C50" s="54">
        <f t="shared" si="2"/>
        <v>28.800000000000015</v>
      </c>
      <c r="D50" s="54">
        <f t="shared" si="0"/>
        <v>-2.3587916948852743</v>
      </c>
      <c r="E50" s="54">
        <f t="shared" si="3"/>
        <v>-0.09334742783979372</v>
      </c>
      <c r="F50" s="155"/>
      <c r="G50" s="155"/>
      <c r="H50" s="155"/>
      <c r="I50" s="155"/>
      <c r="J50" s="155"/>
      <c r="K50" s="155"/>
      <c r="L50" s="155"/>
      <c r="M50" s="155"/>
      <c r="N50" s="154"/>
    </row>
    <row r="51" spans="2:14" ht="12">
      <c r="B51" s="153"/>
      <c r="C51" s="54">
        <f t="shared" si="2"/>
        <v>29.600000000000016</v>
      </c>
      <c r="D51" s="54">
        <f t="shared" si="0"/>
        <v>-2.7833752114020447</v>
      </c>
      <c r="E51" s="54">
        <f t="shared" si="3"/>
        <v>-0.3216212073827645</v>
      </c>
      <c r="F51" s="155"/>
      <c r="G51" s="155"/>
      <c r="H51" s="155"/>
      <c r="I51" s="155"/>
      <c r="J51" s="155"/>
      <c r="K51" s="155"/>
      <c r="L51" s="155"/>
      <c r="M51" s="155"/>
      <c r="N51" s="154"/>
    </row>
    <row r="52" spans="2:14" ht="12">
      <c r="B52" s="153"/>
      <c r="C52" s="54">
        <f t="shared" si="2"/>
        <v>30.400000000000016</v>
      </c>
      <c r="D52" s="54">
        <f t="shared" si="0"/>
        <v>-3.246485534826685</v>
      </c>
      <c r="E52" s="54">
        <f t="shared" si="3"/>
        <v>-0.7253196169853156</v>
      </c>
      <c r="F52" s="155"/>
      <c r="G52" s="155"/>
      <c r="H52" s="155"/>
      <c r="I52" s="155"/>
      <c r="J52" s="155"/>
      <c r="K52" s="155"/>
      <c r="L52" s="155"/>
      <c r="M52" s="155"/>
      <c r="N52" s="154"/>
    </row>
    <row r="53" spans="2:14" ht="12">
      <c r="B53" s="153"/>
      <c r="C53" s="54">
        <f t="shared" si="2"/>
        <v>31.200000000000017</v>
      </c>
      <c r="D53" s="54">
        <f t="shared" si="0"/>
        <v>-3.7448605014603653</v>
      </c>
      <c r="E53" s="54">
        <f t="shared" si="3"/>
        <v>-1.3198910407459676</v>
      </c>
      <c r="F53" s="155"/>
      <c r="G53" s="155"/>
      <c r="H53" s="155"/>
      <c r="I53" s="155"/>
      <c r="J53" s="155"/>
      <c r="K53" s="155"/>
      <c r="L53" s="155"/>
      <c r="M53" s="155"/>
      <c r="N53" s="154"/>
    </row>
    <row r="54" spans="2:14" ht="12">
      <c r="B54" s="153"/>
      <c r="C54" s="54">
        <f t="shared" si="2"/>
        <v>32.000000000000014</v>
      </c>
      <c r="D54" s="54">
        <f t="shared" si="0"/>
        <v>-4.274584108466181</v>
      </c>
      <c r="E54" s="54">
        <f t="shared" si="3"/>
        <v>-2.0950506534395155</v>
      </c>
      <c r="F54" s="155"/>
      <c r="G54" s="155"/>
      <c r="H54" s="155"/>
      <c r="I54" s="155"/>
      <c r="J54" s="155"/>
      <c r="K54" s="155"/>
      <c r="L54" s="155"/>
      <c r="M54" s="155"/>
      <c r="N54" s="154"/>
    </row>
    <row r="55" spans="2:14" ht="12">
      <c r="B55" s="153"/>
      <c r="C55" s="54">
        <f t="shared" si="2"/>
        <v>32.80000000000001</v>
      </c>
      <c r="D55" s="54">
        <f t="shared" si="0"/>
        <v>-4.831356982884406</v>
      </c>
      <c r="E55" s="54">
        <f t="shared" si="3"/>
        <v>-3.0188361378303337</v>
      </c>
      <c r="F55" s="155"/>
      <c r="G55" s="155"/>
      <c r="H55" s="155"/>
      <c r="I55" s="155"/>
      <c r="J55" s="155"/>
      <c r="K55" s="155"/>
      <c r="L55" s="155"/>
      <c r="M55" s="155"/>
      <c r="N55" s="154"/>
    </row>
    <row r="56" spans="2:14" ht="12">
      <c r="B56" s="153"/>
      <c r="C56" s="54">
        <f t="shared" si="2"/>
        <v>33.60000000000001</v>
      </c>
      <c r="D56" s="54">
        <f t="shared" si="0"/>
        <v>-5.410751669663081</v>
      </c>
      <c r="E56" s="54">
        <f t="shared" si="3"/>
        <v>-4.048847586006282</v>
      </c>
      <c r="F56" s="155"/>
      <c r="G56" s="155"/>
      <c r="H56" s="155"/>
      <c r="I56" s="155"/>
      <c r="J56" s="155"/>
      <c r="K56" s="155"/>
      <c r="L56" s="155"/>
      <c r="M56" s="155"/>
      <c r="N56" s="154"/>
    </row>
    <row r="57" spans="2:14" ht="12">
      <c r="B57" s="153"/>
      <c r="C57" s="54">
        <f t="shared" si="2"/>
        <v>34.400000000000006</v>
      </c>
      <c r="D57" s="54">
        <f t="shared" si="0"/>
        <v>-6.008427469034368</v>
      </c>
      <c r="E57" s="54">
        <f t="shared" si="3"/>
        <v>-5.143472822964822</v>
      </c>
      <c r="F57" s="155"/>
      <c r="G57" s="155"/>
      <c r="H57" s="155"/>
      <c r="I57" s="155"/>
      <c r="J57" s="155"/>
      <c r="K57" s="155"/>
      <c r="L57" s="155"/>
      <c r="M57" s="155"/>
      <c r="N57" s="154"/>
    </row>
    <row r="58" spans="2:14" ht="12">
      <c r="B58" s="153"/>
      <c r="C58" s="54">
        <f t="shared" si="2"/>
        <v>35.2</v>
      </c>
      <c r="D58" s="54">
        <f t="shared" si="0"/>
        <v>-6.620292123655039</v>
      </c>
      <c r="E58" s="54">
        <f t="shared" si="3"/>
        <v>-6.2684842789839665</v>
      </c>
      <c r="F58" s="155"/>
      <c r="G58" s="155"/>
      <c r="H58" s="155"/>
      <c r="I58" s="155"/>
      <c r="J58" s="155"/>
      <c r="K58" s="155"/>
      <c r="L58" s="155"/>
      <c r="M58" s="155"/>
      <c r="N58" s="154"/>
    </row>
    <row r="59" spans="2:14" ht="12">
      <c r="B59" s="153"/>
      <c r="C59" s="54">
        <f t="shared" si="2"/>
        <v>36</v>
      </c>
      <c r="D59" s="54">
        <f t="shared" si="0"/>
        <v>-7.242608706131129</v>
      </c>
      <c r="E59" s="54">
        <f t="shared" si="3"/>
        <v>-7.398871023860899</v>
      </c>
      <c r="F59" s="155"/>
      <c r="G59" s="155"/>
      <c r="H59" s="155"/>
      <c r="I59" s="155"/>
      <c r="J59" s="155"/>
      <c r="K59" s="155"/>
      <c r="L59" s="155"/>
      <c r="M59" s="155"/>
      <c r="N59" s="154"/>
    </row>
    <row r="60" spans="2:14" ht="12">
      <c r="B60" s="153"/>
      <c r="C60" s="54">
        <f t="shared" si="2"/>
        <v>36.8</v>
      </c>
      <c r="D60" s="54">
        <f t="shared" si="0"/>
        <v>-7.872053670466901</v>
      </c>
      <c r="E60" s="54">
        <f t="shared" si="3"/>
        <v>-8.517882834110766</v>
      </c>
      <c r="F60" s="155"/>
      <c r="G60" s="155"/>
      <c r="H60" s="155"/>
      <c r="I60" s="155"/>
      <c r="J60" s="155"/>
      <c r="K60" s="155"/>
      <c r="L60" s="155"/>
      <c r="M60" s="155"/>
      <c r="N60" s="154"/>
    </row>
    <row r="61" spans="2:14" ht="12">
      <c r="B61" s="153"/>
      <c r="C61" s="54">
        <f t="shared" si="2"/>
        <v>37.599999999999994</v>
      </c>
      <c r="D61" s="54">
        <f t="shared" si="0"/>
        <v>-8.505735934161748</v>
      </c>
      <c r="E61" s="54">
        <f t="shared" si="3"/>
        <v>-9.615113444980738</v>
      </c>
      <c r="F61" s="155"/>
      <c r="G61" s="155"/>
      <c r="H61" s="155"/>
      <c r="I61" s="155"/>
      <c r="J61" s="155"/>
      <c r="K61" s="155"/>
      <c r="L61" s="155"/>
      <c r="M61" s="155"/>
      <c r="N61" s="154"/>
    </row>
    <row r="62" spans="2:14" ht="12">
      <c r="B62" s="153"/>
      <c r="C62" s="54">
        <f t="shared" si="2"/>
        <v>38.39999999999999</v>
      </c>
      <c r="D62" s="54">
        <f t="shared" si="0"/>
        <v>-9.141187791265088</v>
      </c>
      <c r="E62" s="54">
        <f t="shared" si="3"/>
        <v>-10.68461874925151</v>
      </c>
      <c r="F62" s="155"/>
      <c r="G62" s="155"/>
      <c r="H62" s="155"/>
      <c r="I62" s="155"/>
      <c r="J62" s="155"/>
      <c r="K62" s="155"/>
      <c r="L62" s="155"/>
      <c r="M62" s="155"/>
      <c r="N62" s="154"/>
    </row>
    <row r="63" spans="2:14" ht="12">
      <c r="B63" s="153"/>
      <c r="C63" s="54">
        <f t="shared" si="2"/>
        <v>39.19999999999999</v>
      </c>
      <c r="D63" s="54">
        <f t="shared" si="0"/>
        <v>-9.776337503701575</v>
      </c>
      <c r="E63" s="54">
        <f t="shared" si="3"/>
        <v>-11.723423533056172</v>
      </c>
      <c r="F63" s="155"/>
      <c r="G63" s="155"/>
      <c r="H63" s="155"/>
      <c r="I63" s="155"/>
      <c r="J63" s="155"/>
      <c r="K63" s="155"/>
      <c r="L63" s="155"/>
      <c r="M63" s="155"/>
      <c r="N63" s="154"/>
    </row>
    <row r="64" spans="2:14" ht="12">
      <c r="B64" s="153"/>
      <c r="C64" s="54">
        <f t="shared" si="2"/>
        <v>39.999999999999986</v>
      </c>
      <c r="D64" s="54">
        <f t="shared" si="0"/>
        <v>-10.409471560806828</v>
      </c>
      <c r="E64" s="54">
        <f t="shared" si="3"/>
        <v>-12.730450568948651</v>
      </c>
      <c r="F64" s="155"/>
      <c r="G64" s="155"/>
      <c r="H64" s="155"/>
      <c r="I64" s="155"/>
      <c r="J64" s="155"/>
      <c r="K64" s="155"/>
      <c r="L64" s="155"/>
      <c r="M64" s="155"/>
      <c r="N64" s="154"/>
    </row>
    <row r="65" spans="2:14" ht="12">
      <c r="B65" s="153"/>
      <c r="C65" s="54">
        <f t="shared" si="2"/>
        <v>40.79999999999998</v>
      </c>
      <c r="D65" s="54">
        <f t="shared" si="0"/>
        <v>-11.039192530583987</v>
      </c>
      <c r="E65" s="54">
        <f t="shared" si="3"/>
        <v>-13.705794089161529</v>
      </c>
      <c r="F65" s="155"/>
      <c r="G65" s="155"/>
      <c r="H65" s="155"/>
      <c r="I65" s="155"/>
      <c r="J65" s="155"/>
      <c r="K65" s="155"/>
      <c r="L65" s="155"/>
      <c r="M65" s="155"/>
      <c r="N65" s="154"/>
    </row>
    <row r="66" spans="2:14" ht="12">
      <c r="B66" s="153"/>
      <c r="C66" s="54">
        <f t="shared" si="2"/>
        <v>41.59999999999998</v>
      </c>
      <c r="D66" s="54">
        <f t="shared" si="0"/>
        <v>-11.66437654888028</v>
      </c>
      <c r="E66" s="54">
        <f t="shared" si="3"/>
        <v>-14.65024293637902</v>
      </c>
      <c r="F66" s="155"/>
      <c r="G66" s="155"/>
      <c r="H66" s="155"/>
      <c r="I66" s="155"/>
      <c r="J66" s="155"/>
      <c r="K66" s="155"/>
      <c r="L66" s="155"/>
      <c r="M66" s="155"/>
      <c r="N66" s="154"/>
    </row>
    <row r="67" spans="2:14" ht="12">
      <c r="B67" s="153"/>
      <c r="C67" s="54">
        <f t="shared" si="2"/>
        <v>42.39999999999998</v>
      </c>
      <c r="D67" s="54">
        <f t="shared" si="0"/>
        <v>-12.284132975567147</v>
      </c>
      <c r="E67" s="54">
        <f t="shared" si="3"/>
        <v>-15.56497433366429</v>
      </c>
      <c r="F67" s="155"/>
      <c r="G67" s="155"/>
      <c r="H67" s="155"/>
      <c r="I67" s="155"/>
      <c r="J67" s="155"/>
      <c r="K67" s="155"/>
      <c r="L67" s="155"/>
      <c r="M67" s="155"/>
      <c r="N67" s="154"/>
    </row>
    <row r="68" spans="2:14" ht="12">
      <c r="B68" s="153"/>
      <c r="C68" s="54">
        <f t="shared" si="2"/>
        <v>43.199999999999974</v>
      </c>
      <c r="D68" s="54">
        <f t="shared" si="0"/>
        <v>-12.897767618928599</v>
      </c>
      <c r="E68" s="54">
        <f t="shared" si="3"/>
        <v>-16.451360547833225</v>
      </c>
      <c r="F68" s="155"/>
      <c r="G68" s="155"/>
      <c r="H68" s="155"/>
      <c r="I68" s="155"/>
      <c r="J68" s="155"/>
      <c r="K68" s="155"/>
      <c r="L68" s="155"/>
      <c r="M68" s="155"/>
      <c r="N68" s="154"/>
    </row>
    <row r="69" spans="2:14" ht="12">
      <c r="B69" s="153"/>
      <c r="C69" s="54">
        <f t="shared" si="2"/>
        <v>43.99999999999997</v>
      </c>
      <c r="D69" s="54">
        <f t="shared" si="0"/>
        <v>-13.504750147109343</v>
      </c>
      <c r="E69" s="54">
        <f t="shared" si="3"/>
        <v>-17.310848892268154</v>
      </c>
      <c r="F69" s="155"/>
      <c r="G69" s="155"/>
      <c r="H69" s="155"/>
      <c r="I69" s="155"/>
      <c r="J69" s="155"/>
      <c r="K69" s="155"/>
      <c r="L69" s="155"/>
      <c r="M69" s="155"/>
      <c r="N69" s="154"/>
    </row>
    <row r="70" spans="2:14" ht="12">
      <c r="B70" s="153"/>
      <c r="C70" s="54">
        <f t="shared" si="2"/>
        <v>44.79999999999997</v>
      </c>
      <c r="D70" s="54">
        <f t="shared" si="0"/>
        <v>-14.104685797988783</v>
      </c>
      <c r="E70" s="54">
        <f t="shared" si="3"/>
        <v>-18.14488884793558</v>
      </c>
      <c r="F70" s="155"/>
      <c r="G70" s="155"/>
      <c r="H70" s="155"/>
      <c r="I70" s="155"/>
      <c r="J70" s="155"/>
      <c r="K70" s="155"/>
      <c r="L70" s="155"/>
      <c r="M70" s="155"/>
      <c r="N70" s="154"/>
    </row>
    <row r="71" spans="2:14" ht="12">
      <c r="B71" s="153"/>
      <c r="C71" s="54">
        <f t="shared" si="2"/>
        <v>45.599999999999966</v>
      </c>
      <c r="D71" s="54">
        <f t="shared" si="0"/>
        <v>-14.69729119417157</v>
      </c>
      <c r="E71" s="54">
        <f t="shared" si="3"/>
        <v>-18.954889222474076</v>
      </c>
      <c r="F71" s="155"/>
      <c r="G71" s="155"/>
      <c r="H71" s="155"/>
      <c r="I71" s="155"/>
      <c r="J71" s="155"/>
      <c r="K71" s="155"/>
      <c r="L71" s="155"/>
      <c r="M71" s="155"/>
      <c r="N71" s="154"/>
    </row>
    <row r="72" spans="2:14" ht="12">
      <c r="B72" s="153"/>
      <c r="C72" s="54">
        <f t="shared" si="2"/>
        <v>46.39999999999996</v>
      </c>
      <c r="D72" s="54">
        <f t="shared" si="0"/>
        <v>-15.282373906088962</v>
      </c>
      <c r="E72" s="54">
        <f t="shared" si="3"/>
        <v>-19.742194322880046</v>
      </c>
      <c r="F72" s="155"/>
      <c r="G72" s="155"/>
      <c r="H72" s="155"/>
      <c r="I72" s="155"/>
      <c r="J72" s="155"/>
      <c r="K72" s="155"/>
      <c r="L72" s="155"/>
      <c r="M72" s="155"/>
      <c r="N72" s="154"/>
    </row>
    <row r="73" spans="2:14" ht="12">
      <c r="B73" s="153"/>
      <c r="C73" s="54">
        <f t="shared" si="2"/>
        <v>47.19999999999996</v>
      </c>
      <c r="D73" s="54">
        <f t="shared" si="0"/>
        <v>-15.859815335345607</v>
      </c>
      <c r="E73" s="54">
        <f t="shared" si="3"/>
        <v>-20.508072058715495</v>
      </c>
      <c r="F73" s="155"/>
      <c r="G73" s="155"/>
      <c r="H73" s="155"/>
      <c r="I73" s="155"/>
      <c r="J73" s="155"/>
      <c r="K73" s="155"/>
      <c r="L73" s="155"/>
      <c r="M73" s="155"/>
      <c r="N73" s="154"/>
    </row>
    <row r="74" spans="2:14" ht="12">
      <c r="B74" s="153"/>
      <c r="C74" s="54">
        <f t="shared" si="2"/>
        <v>47.99999999999996</v>
      </c>
      <c r="D74" s="54">
        <f t="shared" si="0"/>
        <v>-16.429556477329776</v>
      </c>
      <c r="E74" s="54">
        <f t="shared" si="3"/>
        <v>-21.25370943617552</v>
      </c>
      <c r="F74" s="155"/>
      <c r="G74" s="155"/>
      <c r="H74" s="155"/>
      <c r="I74" s="155"/>
      <c r="J74" s="155"/>
      <c r="K74" s="155"/>
      <c r="L74" s="155"/>
      <c r="M74" s="155"/>
      <c r="N74" s="154"/>
    </row>
    <row r="75" spans="2:14" ht="12">
      <c r="B75" s="153"/>
      <c r="C75" s="54">
        <f t="shared" si="2"/>
        <v>48.799999999999955</v>
      </c>
      <c r="D75" s="54">
        <f t="shared" si="0"/>
        <v>-16.99158614242875</v>
      </c>
      <c r="E75" s="54">
        <f t="shared" si="3"/>
        <v>-21.980212539002437</v>
      </c>
      <c r="F75" s="155"/>
      <c r="G75" s="155"/>
      <c r="H75" s="155"/>
      <c r="I75" s="155"/>
      <c r="J75" s="155"/>
      <c r="K75" s="155"/>
      <c r="L75" s="155"/>
      <c r="M75" s="155"/>
      <c r="N75" s="154"/>
    </row>
    <row r="76" spans="2:14" ht="12">
      <c r="B76" s="153"/>
      <c r="C76" s="54">
        <f t="shared" si="2"/>
        <v>49.59999999999995</v>
      </c>
      <c r="D76" s="54">
        <f t="shared" si="0"/>
        <v>-17.54593125286021</v>
      </c>
      <c r="E76" s="54">
        <f t="shared" si="3"/>
        <v>-22.688609143462077</v>
      </c>
      <c r="F76" s="155"/>
      <c r="G76" s="155"/>
      <c r="H76" s="155"/>
      <c r="I76" s="155"/>
      <c r="J76" s="155"/>
      <c r="K76" s="155"/>
      <c r="L76" s="155"/>
      <c r="M76" s="155"/>
      <c r="N76" s="154"/>
    </row>
    <row r="77" spans="2:14" ht="12">
      <c r="B77" s="153"/>
      <c r="C77" s="54">
        <f t="shared" si="2"/>
        <v>50.39999999999995</v>
      </c>
      <c r="D77" s="54">
        <f t="shared" si="0"/>
        <v>-18.092648876952847</v>
      </c>
      <c r="E77" s="54">
        <f t="shared" si="3"/>
        <v>-23.379852790721788</v>
      </c>
      <c r="F77" s="155"/>
      <c r="G77" s="155"/>
      <c r="H77" s="155"/>
      <c r="I77" s="155"/>
      <c r="J77" s="155"/>
      <c r="K77" s="155"/>
      <c r="L77" s="155"/>
      <c r="M77" s="155"/>
      <c r="N77" s="154"/>
    </row>
    <row r="78" spans="2:14" ht="12">
      <c r="B78" s="153"/>
      <c r="C78" s="54">
        <f t="shared" si="2"/>
        <v>51.199999999999946</v>
      </c>
      <c r="D78" s="54">
        <f aca="true" t="shared" si="4" ref="D78:D109">-10*LOG(1+(C78/$D$6)^(2*$D$5))</f>
        <v>-18.631819708557195</v>
      </c>
      <c r="E78" s="54">
        <f aca="true" t="shared" si="5" ref="E78:E114">IF(C78/$D$6&lt;1,-10*LOG(1+$E$120*(COS($D$5*ACOS(C78/$D$6)))^2),-10*LOG(1+$E$120*(COSH($D$5*ACOSH(C78/$D$6)))^2))</f>
        <v>-24.054827575311624</v>
      </c>
      <c r="F78" s="155"/>
      <c r="G78" s="155"/>
      <c r="H78" s="155"/>
      <c r="I78" s="155"/>
      <c r="J78" s="155"/>
      <c r="K78" s="155"/>
      <c r="L78" s="155"/>
      <c r="M78" s="155"/>
      <c r="N78" s="154"/>
    </row>
    <row r="79" spans="2:14" ht="12">
      <c r="B79" s="153"/>
      <c r="C79" s="54">
        <f aca="true" t="shared" si="6" ref="C79:C114">C78+$D$11</f>
        <v>51.99999999999994</v>
      </c>
      <c r="D79" s="54">
        <f t="shared" si="4"/>
        <v>-19.163542742704102</v>
      </c>
      <c r="E79" s="54">
        <f t="shared" si="5"/>
        <v>-24.714353188839905</v>
      </c>
      <c r="F79" s="155"/>
      <c r="G79" s="155"/>
      <c r="H79" s="155"/>
      <c r="I79" s="155"/>
      <c r="J79" s="155"/>
      <c r="K79" s="155"/>
      <c r="L79" s="155"/>
      <c r="M79" s="155"/>
      <c r="N79" s="154"/>
    </row>
    <row r="80" spans="2:14" ht="12">
      <c r="B80" s="153"/>
      <c r="C80" s="54">
        <f t="shared" si="6"/>
        <v>52.79999999999994</v>
      </c>
      <c r="D80" s="54">
        <f t="shared" si="4"/>
        <v>-19.687930937941744</v>
      </c>
      <c r="E80" s="54">
        <f t="shared" si="5"/>
        <v>-25.35918993876422</v>
      </c>
      <c r="F80" s="155"/>
      <c r="G80" s="155"/>
      <c r="H80" s="155"/>
      <c r="I80" s="155"/>
      <c r="J80" s="155"/>
      <c r="K80" s="155"/>
      <c r="L80" s="155"/>
      <c r="M80" s="155"/>
      <c r="N80" s="154"/>
    </row>
    <row r="81" spans="2:14" ht="12">
      <c r="B81" s="153"/>
      <c r="C81" s="54">
        <f t="shared" si="6"/>
        <v>53.59999999999994</v>
      </c>
      <c r="D81" s="54">
        <f t="shared" si="4"/>
        <v>-20.205107690317607</v>
      </c>
      <c r="E81" s="54">
        <f t="shared" si="5"/>
        <v>-25.990043578066967</v>
      </c>
      <c r="F81" s="155"/>
      <c r="G81" s="155"/>
      <c r="H81" s="155"/>
      <c r="I81" s="155"/>
      <c r="J81" s="155"/>
      <c r="K81" s="155"/>
      <c r="L81" s="155"/>
      <c r="M81" s="155"/>
      <c r="N81" s="154"/>
    </row>
    <row r="82" spans="2:14" ht="12">
      <c r="B82" s="153"/>
      <c r="C82" s="54">
        <f t="shared" si="6"/>
        <v>54.399999999999935</v>
      </c>
      <c r="D82" s="54">
        <f t="shared" si="4"/>
        <v>-20.71520397369393</v>
      </c>
      <c r="E82" s="54">
        <f t="shared" si="5"/>
        <v>-26.60756985585644</v>
      </c>
      <c r="F82" s="155"/>
      <c r="G82" s="155"/>
      <c r="H82" s="155"/>
      <c r="I82" s="155"/>
      <c r="J82" s="155"/>
      <c r="K82" s="155"/>
      <c r="L82" s="155"/>
      <c r="M82" s="155"/>
      <c r="N82" s="154"/>
    </row>
    <row r="83" spans="2:14" ht="12">
      <c r="B83" s="153"/>
      <c r="C83" s="54">
        <f t="shared" si="6"/>
        <v>55.19999999999993</v>
      </c>
      <c r="D83" s="54">
        <f t="shared" si="4"/>
        <v>-21.218356026293993</v>
      </c>
      <c r="E83" s="54">
        <f t="shared" si="5"/>
        <v>-27.212378745885758</v>
      </c>
      <c r="F83" s="155"/>
      <c r="G83" s="155"/>
      <c r="H83" s="155"/>
      <c r="I83" s="155"/>
      <c r="J83" s="155"/>
      <c r="K83" s="155"/>
      <c r="L83" s="155"/>
      <c r="M83" s="155"/>
      <c r="N83" s="154"/>
    </row>
    <row r="84" spans="2:14" ht="12">
      <c r="B84" s="153"/>
      <c r="C84" s="54">
        <f t="shared" si="6"/>
        <v>55.99999999999993</v>
      </c>
      <c r="D84" s="54">
        <f t="shared" si="4"/>
        <v>-21.714703484533157</v>
      </c>
      <c r="E84" s="54">
        <f t="shared" si="5"/>
        <v>-27.805038339273374</v>
      </c>
      <c r="F84" s="155"/>
      <c r="G84" s="155"/>
      <c r="H84" s="155"/>
      <c r="I84" s="155"/>
      <c r="J84" s="155"/>
      <c r="K84" s="155"/>
      <c r="L84" s="155"/>
      <c r="M84" s="155"/>
      <c r="N84" s="154"/>
    </row>
    <row r="85" spans="2:14" ht="12">
      <c r="B85" s="153"/>
      <c r="C85" s="54">
        <f t="shared" si="6"/>
        <v>56.799999999999926</v>
      </c>
      <c r="D85" s="54">
        <f t="shared" si="4"/>
        <v>-22.204387882806223</v>
      </c>
      <c r="E85" s="54">
        <f t="shared" si="5"/>
        <v>-28.38607840552111</v>
      </c>
      <c r="F85" s="155"/>
      <c r="G85" s="155"/>
      <c r="H85" s="155"/>
      <c r="I85" s="155"/>
      <c r="J85" s="155"/>
      <c r="K85" s="155"/>
      <c r="L85" s="155"/>
      <c r="M85" s="155"/>
      <c r="N85" s="154"/>
    </row>
    <row r="86" spans="2:14" ht="12">
      <c r="B86" s="153"/>
      <c r="C86" s="54">
        <f t="shared" si="6"/>
        <v>57.59999999999992</v>
      </c>
      <c r="D86" s="54">
        <f t="shared" si="4"/>
        <v>-22.687551452491</v>
      </c>
      <c r="E86" s="54">
        <f t="shared" si="5"/>
        <v>-28.955993636309817</v>
      </c>
      <c r="F86" s="155"/>
      <c r="G86" s="155"/>
      <c r="H86" s="155"/>
      <c r="I86" s="155"/>
      <c r="J86" s="155"/>
      <c r="K86" s="155"/>
      <c r="L86" s="155"/>
      <c r="M86" s="155"/>
      <c r="N86" s="154"/>
    </row>
    <row r="87" spans="2:14" ht="12">
      <c r="B87" s="153"/>
      <c r="C87" s="54">
        <f t="shared" si="6"/>
        <v>58.39999999999992</v>
      </c>
      <c r="D87" s="54">
        <f t="shared" si="4"/>
        <v>-23.16433616545734</v>
      </c>
      <c r="E87" s="54">
        <f t="shared" si="5"/>
        <v>-29.515246592161674</v>
      </c>
      <c r="F87" s="155"/>
      <c r="G87" s="155"/>
      <c r="H87" s="155"/>
      <c r="I87" s="155"/>
      <c r="J87" s="155"/>
      <c r="K87" s="155"/>
      <c r="L87" s="155"/>
      <c r="M87" s="155"/>
      <c r="N87" s="154"/>
    </row>
    <row r="88" spans="2:14" ht="12">
      <c r="B88" s="153"/>
      <c r="C88" s="54">
        <f t="shared" si="6"/>
        <v>59.19999999999992</v>
      </c>
      <c r="D88" s="54">
        <f t="shared" si="4"/>
        <v>-23.63488297726066</v>
      </c>
      <c r="E88" s="54">
        <f t="shared" si="5"/>
        <v>-30.06427037463056</v>
      </c>
      <c r="F88" s="155"/>
      <c r="G88" s="155"/>
      <c r="H88" s="155"/>
      <c r="I88" s="155"/>
      <c r="J88" s="155"/>
      <c r="K88" s="155"/>
      <c r="L88" s="155"/>
      <c r="M88" s="155"/>
      <c r="N88" s="154"/>
    </row>
    <row r="89" spans="2:14" ht="12">
      <c r="B89" s="153"/>
      <c r="C89" s="54">
        <f t="shared" si="6"/>
        <v>59.999999999999915</v>
      </c>
      <c r="D89" s="54">
        <f t="shared" si="4"/>
        <v>-24.099331233312896</v>
      </c>
      <c r="E89" s="54">
        <f t="shared" si="5"/>
        <v>-30.603471047358404</v>
      </c>
      <c r="F89" s="155"/>
      <c r="G89" s="155"/>
      <c r="H89" s="155"/>
      <c r="I89" s="155"/>
      <c r="J89" s="155"/>
      <c r="K89" s="155"/>
      <c r="L89" s="155"/>
      <c r="M89" s="155"/>
      <c r="N89" s="154"/>
    </row>
    <row r="90" spans="2:14" ht="12">
      <c r="B90" s="153"/>
      <c r="C90" s="54">
        <f t="shared" si="6"/>
        <v>60.79999999999991</v>
      </c>
      <c r="D90" s="54">
        <f t="shared" si="4"/>
        <v>-24.557818207971415</v>
      </c>
      <c r="E90" s="54">
        <f t="shared" si="5"/>
        <v>-31.133229828861335</v>
      </c>
      <c r="F90" s="155"/>
      <c r="G90" s="155"/>
      <c r="H90" s="155"/>
      <c r="I90" s="155"/>
      <c r="J90" s="155"/>
      <c r="K90" s="155"/>
      <c r="L90" s="155"/>
      <c r="M90" s="155"/>
      <c r="N90" s="154"/>
    </row>
    <row r="91" spans="2:14" ht="12">
      <c r="B91" s="153"/>
      <c r="C91" s="54">
        <f t="shared" si="6"/>
        <v>61.59999999999991</v>
      </c>
      <c r="D91" s="54">
        <f t="shared" si="4"/>
        <v>-25.010478751928098</v>
      </c>
      <c r="E91" s="54">
        <f t="shared" si="5"/>
        <v>-31.653905078769647</v>
      </c>
      <c r="F91" s="155"/>
      <c r="G91" s="155"/>
      <c r="H91" s="155"/>
      <c r="I91" s="155"/>
      <c r="J91" s="155"/>
      <c r="K91" s="155"/>
      <c r="L91" s="155"/>
      <c r="M91" s="155"/>
      <c r="N91" s="154"/>
    </row>
    <row r="92" spans="2:14" ht="12">
      <c r="B92" s="153"/>
      <c r="C92" s="54">
        <f t="shared" si="6"/>
        <v>62.399999999999906</v>
      </c>
      <c r="D92" s="54">
        <f t="shared" si="4"/>
        <v>-25.45744502773342</v>
      </c>
      <c r="E92" s="54">
        <f t="shared" si="5"/>
        <v>-32.16583409775466</v>
      </c>
      <c r="F92" s="155"/>
      <c r="G92" s="155"/>
      <c r="H92" s="155"/>
      <c r="I92" s="155"/>
      <c r="J92" s="155"/>
      <c r="K92" s="155"/>
      <c r="L92" s="155"/>
      <c r="M92" s="155"/>
      <c r="N92" s="154"/>
    </row>
    <row r="93" spans="2:14" ht="12">
      <c r="B93" s="153"/>
      <c r="C93" s="54">
        <f t="shared" si="6"/>
        <v>63.1999999999999</v>
      </c>
      <c r="D93" s="54">
        <f t="shared" si="4"/>
        <v>-25.898846316933394</v>
      </c>
      <c r="E93" s="54">
        <f t="shared" si="5"/>
        <v>-32.669334759731555</v>
      </c>
      <c r="F93" s="155"/>
      <c r="G93" s="155"/>
      <c r="H93" s="155"/>
      <c r="I93" s="155"/>
      <c r="J93" s="155"/>
      <c r="K93" s="155"/>
      <c r="L93" s="155"/>
      <c r="M93" s="155"/>
      <c r="N93" s="154"/>
    </row>
    <row r="94" spans="2:14" ht="12">
      <c r="B94" s="153"/>
      <c r="C94" s="54">
        <f t="shared" si="6"/>
        <v>63.9999999999999</v>
      </c>
      <c r="D94" s="54">
        <f t="shared" si="4"/>
        <v>-26.33480888527839</v>
      </c>
      <c r="E94" s="54">
        <f t="shared" si="5"/>
        <v>-33.16470699325671</v>
      </c>
      <c r="F94" s="155"/>
      <c r="G94" s="155"/>
      <c r="H94" s="155"/>
      <c r="I94" s="155"/>
      <c r="J94" s="155"/>
      <c r="K94" s="155"/>
      <c r="L94" s="155"/>
      <c r="M94" s="155"/>
      <c r="N94" s="154"/>
    </row>
    <row r="95" spans="2:14" ht="12">
      <c r="B95" s="153"/>
      <c r="C95" s="54">
        <f t="shared" si="6"/>
        <v>64.7999999999999</v>
      </c>
      <c r="D95" s="54">
        <f t="shared" si="4"/>
        <v>-26.765455894903234</v>
      </c>
      <c r="E95" s="54">
        <f t="shared" si="5"/>
        <v>-33.652234127414566</v>
      </c>
      <c r="F95" s="155"/>
      <c r="G95" s="155"/>
      <c r="H95" s="155"/>
      <c r="I95" s="155"/>
      <c r="J95" s="155"/>
      <c r="K95" s="155"/>
      <c r="L95" s="155"/>
      <c r="M95" s="155"/>
      <c r="N95" s="154"/>
    </row>
    <row r="96" spans="2:14" ht="12">
      <c r="B96" s="153"/>
      <c r="C96" s="54">
        <f t="shared" si="6"/>
        <v>65.5999999999999</v>
      </c>
      <c r="D96" s="54">
        <f t="shared" si="4"/>
        <v>-27.19090735437671</v>
      </c>
      <c r="E96" s="54">
        <f t="shared" si="5"/>
        <v>-34.13218411595692</v>
      </c>
      <c r="F96" s="155"/>
      <c r="G96" s="155"/>
      <c r="H96" s="155"/>
      <c r="I96" s="155"/>
      <c r="J96" s="155"/>
      <c r="K96" s="155"/>
      <c r="L96" s="155"/>
      <c r="M96" s="155"/>
      <c r="N96" s="154"/>
    </row>
    <row r="97" spans="2:14" ht="12">
      <c r="B97" s="153"/>
      <c r="C97" s="54">
        <f t="shared" si="6"/>
        <v>66.39999999999989</v>
      </c>
      <c r="D97" s="54">
        <f t="shared" si="4"/>
        <v>-27.611280099156662</v>
      </c>
      <c r="E97" s="54">
        <f t="shared" si="5"/>
        <v>-34.604810652038076</v>
      </c>
      <c r="F97" s="155"/>
      <c r="G97" s="155"/>
      <c r="H97" s="155"/>
      <c r="I97" s="155"/>
      <c r="J97" s="155"/>
      <c r="K97" s="155"/>
      <c r="L97" s="155"/>
      <c r="M97" s="155"/>
      <c r="N97" s="154"/>
    </row>
    <row r="98" spans="2:14" ht="12">
      <c r="B98" s="153"/>
      <c r="C98" s="54">
        <f t="shared" si="6"/>
        <v>67.19999999999989</v>
      </c>
      <c r="D98" s="54">
        <f t="shared" si="4"/>
        <v>-28.02668779633003</v>
      </c>
      <c r="E98" s="54">
        <f t="shared" si="5"/>
        <v>-35.07035418459178</v>
      </c>
      <c r="F98" s="155"/>
      <c r="G98" s="155"/>
      <c r="H98" s="155"/>
      <c r="I98" s="155"/>
      <c r="J98" s="155"/>
      <c r="K98" s="155"/>
      <c r="L98" s="155"/>
      <c r="M98" s="155"/>
      <c r="N98" s="154"/>
    </row>
    <row r="99" spans="2:14" ht="12">
      <c r="B99" s="153"/>
      <c r="C99" s="54">
        <f t="shared" si="6"/>
        <v>67.99999999999989</v>
      </c>
      <c r="D99" s="54">
        <f t="shared" si="4"/>
        <v>-28.437240968619943</v>
      </c>
      <c r="E99" s="54">
        <f t="shared" si="5"/>
        <v>-35.52904284622067</v>
      </c>
      <c r="F99" s="155"/>
      <c r="G99" s="155"/>
      <c r="H99" s="155"/>
      <c r="I99" s="155"/>
      <c r="J99" s="155"/>
      <c r="K99" s="155"/>
      <c r="L99" s="155"/>
      <c r="M99" s="155"/>
      <c r="N99" s="154"/>
    </row>
    <row r="100" spans="2:14" ht="12">
      <c r="B100" s="153"/>
      <c r="C100" s="54">
        <f t="shared" si="6"/>
        <v>68.79999999999988</v>
      </c>
      <c r="D100" s="54">
        <f t="shared" si="4"/>
        <v>-28.843047033546924</v>
      </c>
      <c r="E100" s="54">
        <f t="shared" si="5"/>
        <v>-35.98109330141098</v>
      </c>
      <c r="F100" s="155"/>
      <c r="G100" s="155"/>
      <c r="H100" s="155"/>
      <c r="I100" s="155"/>
      <c r="J100" s="155"/>
      <c r="K100" s="155"/>
      <c r="L100" s="155"/>
      <c r="M100" s="155"/>
      <c r="N100" s="154"/>
    </row>
    <row r="101" spans="2:14" ht="12">
      <c r="B101" s="153"/>
      <c r="C101" s="54">
        <f t="shared" si="6"/>
        <v>69.59999999999988</v>
      </c>
      <c r="D101" s="54">
        <f t="shared" si="4"/>
        <v>-29.244210354375863</v>
      </c>
      <c r="E101" s="54">
        <f t="shared" si="5"/>
        <v>-36.426711522938824</v>
      </c>
      <c r="F101" s="155"/>
      <c r="G101" s="155"/>
      <c r="H101" s="155"/>
      <c r="I101" s="155"/>
      <c r="J101" s="155"/>
      <c r="K101" s="155"/>
      <c r="L101" s="155"/>
      <c r="M101" s="155"/>
      <c r="N101" s="154"/>
    </row>
    <row r="102" spans="2:14" ht="12">
      <c r="B102" s="153"/>
      <c r="C102" s="54">
        <f t="shared" si="6"/>
        <v>70.39999999999988</v>
      </c>
      <c r="D102" s="54">
        <f t="shared" si="4"/>
        <v>-29.64083230009208</v>
      </c>
      <c r="E102" s="54">
        <f t="shared" si="5"/>
        <v>-36.86609350348841</v>
      </c>
      <c r="F102" s="155"/>
      <c r="G102" s="155"/>
      <c r="H102" s="155"/>
      <c r="I102" s="155"/>
      <c r="J102" s="155"/>
      <c r="K102" s="155"/>
      <c r="L102" s="155"/>
      <c r="M102" s="155"/>
      <c r="N102" s="154"/>
    </row>
    <row r="103" spans="2:14" ht="12">
      <c r="B103" s="153"/>
      <c r="C103" s="54">
        <f t="shared" si="6"/>
        <v>71.19999999999987</v>
      </c>
      <c r="D103" s="54">
        <f t="shared" si="4"/>
        <v>-30.033011312153594</v>
      </c>
      <c r="E103" s="54">
        <f t="shared" si="5"/>
        <v>-37.299425908750344</v>
      </c>
      <c r="F103" s="155"/>
      <c r="G103" s="155"/>
      <c r="H103" s="155"/>
      <c r="I103" s="155"/>
      <c r="J103" s="155"/>
      <c r="K103" s="155"/>
      <c r="L103" s="155"/>
      <c r="M103" s="155"/>
      <c r="N103" s="154"/>
    </row>
    <row r="104" spans="2:14" ht="12">
      <c r="B104" s="153"/>
      <c r="C104" s="54">
        <f t="shared" si="6"/>
        <v>71.99999999999987</v>
      </c>
      <c r="D104" s="54">
        <f t="shared" si="4"/>
        <v>-30.42084297618153</v>
      </c>
      <c r="E104" s="54">
        <f t="shared" si="5"/>
        <v>-37.72688667759891</v>
      </c>
      <c r="F104" s="155"/>
      <c r="G104" s="155"/>
      <c r="H104" s="155"/>
      <c r="I104" s="155"/>
      <c r="J104" s="155"/>
      <c r="K104" s="155"/>
      <c r="L104" s="155"/>
      <c r="M104" s="155"/>
      <c r="N104" s="154"/>
    </row>
    <row r="105" spans="2:14" ht="12">
      <c r="B105" s="153"/>
      <c r="C105" s="54">
        <f t="shared" si="6"/>
        <v>72.79999999999987</v>
      </c>
      <c r="D105" s="54">
        <f t="shared" si="4"/>
        <v>-30.80442009709195</v>
      </c>
      <c r="E105" s="54">
        <f t="shared" si="5"/>
        <v>-38.14864557435286</v>
      </c>
      <c r="F105" s="155"/>
      <c r="G105" s="155"/>
      <c r="H105" s="155"/>
      <c r="I105" s="155"/>
      <c r="J105" s="155"/>
      <c r="K105" s="155"/>
      <c r="L105" s="155"/>
      <c r="M105" s="155"/>
      <c r="N105" s="154"/>
    </row>
    <row r="106" spans="2:14" ht="12">
      <c r="B106" s="153"/>
      <c r="C106" s="54">
        <f t="shared" si="6"/>
        <v>73.59999999999987</v>
      </c>
      <c r="D106" s="54">
        <f t="shared" si="4"/>
        <v>-31.18383277645446</v>
      </c>
      <c r="E106" s="54">
        <f t="shared" si="5"/>
        <v>-38.564864697597</v>
      </c>
      <c r="F106" s="155"/>
      <c r="G106" s="155"/>
      <c r="H106" s="155"/>
      <c r="I106" s="155"/>
      <c r="J106" s="155"/>
      <c r="K106" s="155"/>
      <c r="L106" s="155"/>
      <c r="M106" s="155"/>
      <c r="N106" s="154"/>
    </row>
    <row r="107" spans="2:14" ht="12">
      <c r="B107" s="153"/>
      <c r="C107" s="54">
        <f t="shared" si="6"/>
        <v>74.39999999999986</v>
      </c>
      <c r="D107" s="54">
        <f t="shared" si="4"/>
        <v>-31.55916849109451</v>
      </c>
      <c r="E107" s="54">
        <f t="shared" si="5"/>
        <v>-38.97569894957332</v>
      </c>
      <c r="F107" s="155"/>
      <c r="G107" s="155"/>
      <c r="H107" s="155"/>
      <c r="I107" s="155"/>
      <c r="J107" s="155"/>
      <c r="K107" s="155"/>
      <c r="L107" s="155"/>
      <c r="M107" s="155"/>
      <c r="N107" s="154"/>
    </row>
    <row r="108" spans="2:14" ht="12">
      <c r="B108" s="153"/>
      <c r="C108" s="54">
        <f t="shared" si="6"/>
        <v>75.19999999999986</v>
      </c>
      <c r="D108" s="54">
        <f t="shared" si="4"/>
        <v>-31.93051217214796</v>
      </c>
      <c r="E108" s="54">
        <f t="shared" si="5"/>
        <v>-39.381296469735176</v>
      </c>
      <c r="F108" s="155"/>
      <c r="G108" s="155"/>
      <c r="H108" s="155"/>
      <c r="I108" s="155"/>
      <c r="J108" s="155"/>
      <c r="K108" s="155"/>
      <c r="L108" s="155"/>
      <c r="M108" s="155"/>
      <c r="N108" s="154"/>
    </row>
    <row r="109" spans="2:14" ht="12">
      <c r="B109" s="153"/>
      <c r="C109" s="54">
        <f t="shared" si="6"/>
        <v>75.99999999999986</v>
      </c>
      <c r="D109" s="54">
        <f t="shared" si="4"/>
        <v>-32.297946283934216</v>
      </c>
      <c r="E109" s="54">
        <f t="shared" si="5"/>
        <v>-39.78179903568887</v>
      </c>
      <c r="F109" s="155"/>
      <c r="G109" s="155"/>
      <c r="H109" s="155"/>
      <c r="I109" s="155"/>
      <c r="J109" s="155"/>
      <c r="K109" s="155"/>
      <c r="L109" s="155"/>
      <c r="M109" s="155"/>
      <c r="N109" s="154"/>
    </row>
    <row r="110" spans="2:14" ht="12">
      <c r="B110" s="153"/>
      <c r="C110" s="54">
        <f t="shared" si="6"/>
        <v>76.79999999999986</v>
      </c>
      <c r="D110" s="54">
        <f>-10*LOG(1+(C110/$D$6)^(2*$D$5))</f>
        <v>-32.66155090214393</v>
      </c>
      <c r="E110" s="54">
        <f t="shared" si="5"/>
        <v>-40.17734243441899</v>
      </c>
      <c r="F110" s="155"/>
      <c r="G110" s="155"/>
      <c r="H110" s="155"/>
      <c r="I110" s="155"/>
      <c r="J110" s="155"/>
      <c r="K110" s="155"/>
      <c r="L110" s="155"/>
      <c r="M110" s="155"/>
      <c r="N110" s="154"/>
    </row>
    <row r="111" spans="2:14" ht="12">
      <c r="B111" s="153"/>
      <c r="C111" s="54">
        <f t="shared" si="6"/>
        <v>77.59999999999985</v>
      </c>
      <c r="D111" s="54">
        <f>-10*LOG(1+(C111/$D$6)^(2*$D$5))</f>
        <v>-33.02140379094464</v>
      </c>
      <c r="E111" s="54">
        <f t="shared" si="5"/>
        <v>-40.56805680640271</v>
      </c>
      <c r="F111" s="155"/>
      <c r="G111" s="155"/>
      <c r="H111" s="155"/>
      <c r="I111" s="155"/>
      <c r="J111" s="155"/>
      <c r="K111" s="155"/>
      <c r="L111" s="155"/>
      <c r="M111" s="155"/>
      <c r="N111" s="154"/>
    </row>
    <row r="112" spans="2:14" ht="12">
      <c r="B112" s="153"/>
      <c r="C112" s="54">
        <f t="shared" si="6"/>
        <v>78.39999999999985</v>
      </c>
      <c r="D112" s="54">
        <f>-10*LOG(1+(C112/$D$6)^(2*$D$5))</f>
        <v>-33.37758047869541</v>
      </c>
      <c r="E112" s="54">
        <f t="shared" si="5"/>
        <v>-40.954066964958535</v>
      </c>
      <c r="F112" s="155"/>
      <c r="G112" s="155"/>
      <c r="H112" s="155"/>
      <c r="I112" s="155"/>
      <c r="J112" s="155"/>
      <c r="K112" s="155"/>
      <c r="L112" s="155"/>
      <c r="M112" s="155"/>
      <c r="N112" s="154"/>
    </row>
    <row r="113" spans="2:14" ht="12">
      <c r="B113" s="153"/>
      <c r="C113" s="54">
        <f t="shared" si="6"/>
        <v>79.19999999999985</v>
      </c>
      <c r="D113" s="54">
        <f>-10*LOG(1+(C113/$D$6)^(2*$D$5))</f>
        <v>-33.73015433203427</v>
      </c>
      <c r="E113" s="54">
        <f t="shared" si="5"/>
        <v>-41.335492692944165</v>
      </c>
      <c r="F113" s="155"/>
      <c r="G113" s="155"/>
      <c r="H113" s="155"/>
      <c r="I113" s="155"/>
      <c r="J113" s="155"/>
      <c r="K113" s="155"/>
      <c r="L113" s="155"/>
      <c r="M113" s="155"/>
      <c r="N113" s="154"/>
    </row>
    <row r="114" spans="2:14" ht="12">
      <c r="B114" s="153"/>
      <c r="C114" s="55">
        <f t="shared" si="6"/>
        <v>79.99999999999984</v>
      </c>
      <c r="D114" s="55">
        <f>-10*LOG(1+(C114/$D$6)^(2*$D$5))</f>
        <v>-34.07919662816149</v>
      </c>
      <c r="E114" s="55">
        <f t="shared" si="5"/>
        <v>-41.71244901871228</v>
      </c>
      <c r="F114" s="155"/>
      <c r="G114" s="157" t="str">
        <f>Home!$D$7&amp;", "&amp;Home!$D$8&amp;", "&amp;Home!$D$9</f>
        <v>RF Cafe Calculator Workbook, v6.0, by RF Cafe</v>
      </c>
      <c r="H114" s="155"/>
      <c r="I114" s="155"/>
      <c r="J114" s="155"/>
      <c r="K114" s="155"/>
      <c r="L114" s="155"/>
      <c r="M114" s="155"/>
      <c r="N114" s="154"/>
    </row>
    <row r="115" spans="2:14" ht="6" customHeight="1" thickBot="1">
      <c r="B115" s="158"/>
      <c r="C115" s="51"/>
      <c r="D115" s="52"/>
      <c r="E115" s="52"/>
      <c r="F115" s="159"/>
      <c r="G115" s="159"/>
      <c r="H115" s="159"/>
      <c r="I115" s="159"/>
      <c r="J115" s="159"/>
      <c r="K115" s="159"/>
      <c r="L115" s="159"/>
      <c r="M115" s="159"/>
      <c r="N115" s="160"/>
    </row>
    <row r="116" spans="3:5" ht="3" customHeight="1" thickTop="1">
      <c r="C116" s="18"/>
      <c r="D116" s="53"/>
      <c r="E116" s="53"/>
    </row>
    <row r="117" spans="4:5" ht="12" hidden="1">
      <c r="D117" s="53"/>
      <c r="E117" s="9"/>
    </row>
    <row r="118" spans="3:5" ht="12" hidden="1">
      <c r="C118" s="9"/>
      <c r="D118" s="53"/>
      <c r="E118" s="9"/>
    </row>
    <row r="119" spans="3:4" ht="12" hidden="1">
      <c r="C119" s="9"/>
      <c r="D119" s="9"/>
    </row>
    <row r="120" spans="3:5" ht="12" hidden="1">
      <c r="C120" s="135" t="s">
        <v>46</v>
      </c>
      <c r="D120" s="9"/>
      <c r="E120" s="9">
        <f>10^(D7/10)-1</f>
        <v>0.12201845430196356</v>
      </c>
    </row>
    <row r="121" spans="3:4" ht="12" hidden="1">
      <c r="C121" s="135" t="s">
        <v>37</v>
      </c>
      <c r="D121" s="9"/>
    </row>
    <row r="122" spans="3:4" ht="12" hidden="1">
      <c r="C122" s="135" t="s">
        <v>47</v>
      </c>
      <c r="D122" s="9"/>
    </row>
    <row r="123" ht="12" hidden="1">
      <c r="D123" s="9"/>
    </row>
    <row r="124" spans="3:4" ht="12" hidden="1">
      <c r="C124" s="9"/>
      <c r="D124" s="9"/>
    </row>
    <row r="125" spans="3:4" ht="12" hidden="1">
      <c r="C125" s="9"/>
      <c r="D125" s="9"/>
    </row>
    <row r="126" spans="3:4" ht="12" hidden="1">
      <c r="C126" s="9"/>
      <c r="D126" s="9"/>
    </row>
    <row r="127" spans="3:4" ht="12" hidden="1">
      <c r="C127" s="9"/>
      <c r="D127" s="9"/>
    </row>
    <row r="128" spans="3:4" ht="12" hidden="1">
      <c r="C128" s="9"/>
      <c r="D128" s="9"/>
    </row>
    <row r="129" spans="3:4" ht="12" hidden="1">
      <c r="C129" s="9"/>
      <c r="D129" s="9"/>
    </row>
    <row r="130" spans="3:4" ht="12" hidden="1">
      <c r="C130" s="9"/>
      <c r="D130" s="9"/>
    </row>
    <row r="131" spans="3:4" ht="12" hidden="1">
      <c r="C131" s="9"/>
      <c r="D131" s="9"/>
    </row>
    <row r="132" spans="3:4" ht="12" hidden="1">
      <c r="C132" s="9"/>
      <c r="D132" s="9"/>
    </row>
    <row r="133" spans="3:4" ht="12" hidden="1">
      <c r="C133" s="9"/>
      <c r="D133" s="9"/>
    </row>
    <row r="134" spans="3:4" ht="12" hidden="1">
      <c r="C134" s="9"/>
      <c r="D134" s="9"/>
    </row>
    <row r="135" spans="3:4" ht="12" hidden="1">
      <c r="C135" s="9"/>
      <c r="D135" s="9"/>
    </row>
    <row r="136" spans="3:4" ht="12" hidden="1">
      <c r="C136" s="9"/>
      <c r="D136" s="9"/>
    </row>
    <row r="137" spans="3:4" ht="12" hidden="1">
      <c r="C137" s="9"/>
      <c r="D137" s="9"/>
    </row>
    <row r="138" spans="3:4" ht="12" hidden="1">
      <c r="C138" s="9"/>
      <c r="D138" s="9"/>
    </row>
    <row r="139" spans="3:4" ht="12" hidden="1">
      <c r="C139" s="9"/>
      <c r="D139" s="9"/>
    </row>
    <row r="140" spans="3:4" ht="12" hidden="1">
      <c r="C140" s="9"/>
      <c r="D140" s="9"/>
    </row>
    <row r="141" spans="3:4" ht="12" hidden="1">
      <c r="C141" s="9"/>
      <c r="D141" s="9"/>
    </row>
    <row r="142" spans="3:4" ht="12" hidden="1">
      <c r="C142" s="9"/>
      <c r="D142" s="9"/>
    </row>
    <row r="143" spans="3:4" ht="12" hidden="1">
      <c r="C143" s="9"/>
      <c r="D143" s="9"/>
    </row>
    <row r="144" spans="3:4" ht="12" hidden="1">
      <c r="C144" s="9"/>
      <c r="D144" s="9"/>
    </row>
    <row r="145" spans="3:4" ht="12" hidden="1">
      <c r="C145" s="9"/>
      <c r="D145" s="9"/>
    </row>
    <row r="146" spans="3:4" ht="12" hidden="1">
      <c r="C146" s="9"/>
      <c r="D146" s="9"/>
    </row>
    <row r="147" spans="3:4" ht="12" hidden="1">
      <c r="C147" s="9"/>
      <c r="D147" s="9"/>
    </row>
    <row r="148" spans="3:4" ht="12" hidden="1">
      <c r="C148" s="9"/>
      <c r="D148" s="9"/>
    </row>
    <row r="149" spans="3:4" ht="12" hidden="1">
      <c r="C149" s="9"/>
      <c r="D149" s="9"/>
    </row>
    <row r="150" spans="3:4" ht="12" hidden="1">
      <c r="C150" s="9"/>
      <c r="D150" s="9"/>
    </row>
    <row r="151" spans="3:4" ht="12" hidden="1">
      <c r="C151" s="9"/>
      <c r="D151" s="9"/>
    </row>
    <row r="152" spans="3:4" ht="12" hidden="1">
      <c r="C152" s="9"/>
      <c r="D152" s="9"/>
    </row>
    <row r="153" spans="3:4" ht="12" hidden="1">
      <c r="C153" s="9"/>
      <c r="D153" s="9"/>
    </row>
    <row r="154" spans="3:4" ht="12" hidden="1">
      <c r="C154" s="9"/>
      <c r="D154" s="9"/>
    </row>
    <row r="155" spans="3:4" ht="12" hidden="1">
      <c r="C155" s="9"/>
      <c r="D155" s="9"/>
    </row>
    <row r="156" spans="3:4" ht="12" hidden="1">
      <c r="C156" s="9"/>
      <c r="D156" s="9"/>
    </row>
    <row r="157" spans="3:4" ht="12" hidden="1">
      <c r="C157" s="9"/>
      <c r="D157" s="9"/>
    </row>
    <row r="158" spans="3:4" ht="12" hidden="1">
      <c r="C158" s="9"/>
      <c r="D158" s="9"/>
    </row>
    <row r="159" spans="3:4" ht="12" hidden="1">
      <c r="C159" s="9"/>
      <c r="D159" s="9"/>
    </row>
    <row r="160" spans="3:4" ht="12" hidden="1">
      <c r="C160" s="9"/>
      <c r="D160" s="9"/>
    </row>
    <row r="161" spans="3:4" ht="12" hidden="1">
      <c r="C161" s="9"/>
      <c r="D161" s="9"/>
    </row>
    <row r="162" spans="3:4" ht="12" hidden="1">
      <c r="C162" s="9"/>
      <c r="D162" s="9"/>
    </row>
    <row r="163" spans="3:4" ht="12" hidden="1">
      <c r="C163" s="9"/>
      <c r="D163" s="9"/>
    </row>
    <row r="164" spans="3:4" ht="12" hidden="1">
      <c r="C164" s="9"/>
      <c r="D164" s="9"/>
    </row>
    <row r="165" spans="3:4" ht="12" hidden="1">
      <c r="C165" s="9"/>
      <c r="D165" s="9"/>
    </row>
    <row r="166" spans="3:4" ht="12" hidden="1">
      <c r="C166" s="9"/>
      <c r="D166" s="9"/>
    </row>
    <row r="167" spans="3:4" ht="12" hidden="1">
      <c r="C167" s="9"/>
      <c r="D167" s="9"/>
    </row>
    <row r="168" spans="3:4" ht="12" hidden="1">
      <c r="C168" s="9"/>
      <c r="D168" s="9"/>
    </row>
    <row r="169" spans="3:4" ht="12" hidden="1">
      <c r="C169" s="9"/>
      <c r="D169" s="9"/>
    </row>
    <row r="170" spans="3:4" ht="12" hidden="1">
      <c r="C170" s="9"/>
      <c r="D170" s="9"/>
    </row>
    <row r="171" spans="3:4" ht="12" hidden="1">
      <c r="C171" s="9"/>
      <c r="D171" s="9"/>
    </row>
    <row r="172" spans="3:4" ht="12" hidden="1">
      <c r="C172" s="9"/>
      <c r="D172" s="9"/>
    </row>
    <row r="173" spans="3:4" ht="12" hidden="1">
      <c r="C173" s="9"/>
      <c r="D173" s="9"/>
    </row>
    <row r="174" spans="3:4" ht="12" hidden="1">
      <c r="C174" s="9"/>
      <c r="D174" s="9"/>
    </row>
    <row r="175" spans="3:4" ht="12" hidden="1">
      <c r="C175" s="9"/>
      <c r="D175" s="9"/>
    </row>
    <row r="176" spans="3:4" ht="12" hidden="1">
      <c r="C176" s="9"/>
      <c r="D176" s="9"/>
    </row>
    <row r="177" ht="12" hidden="1"/>
    <row r="178" ht="12" hidden="1"/>
    <row r="179" ht="12" hidden="1"/>
    <row r="180" ht="12" hidden="1"/>
  </sheetData>
  <sheetProtection password="F39F" sheet="1" objects="1" scenarios="1"/>
  <mergeCells count="4">
    <mergeCell ref="C4:D4"/>
    <mergeCell ref="D12:E12"/>
    <mergeCell ref="C8:E8"/>
    <mergeCell ref="C3:E3"/>
  </mergeCells>
  <dataValidations count="6">
    <dataValidation type="custom" operator="greaterThan" showInputMessage="1" showErrorMessage="1" error="Must be &gt; 0 and &lt; Stop" sqref="D10">
      <formula1>AND(D10&gt;0,D10&lt;D9)</formula1>
    </dataValidation>
    <dataValidation type="custom" operator="greaterThan" showInputMessage="1" showErrorMessage="1" error="Must be &gt; 0 and &gt; Start" sqref="D9">
      <formula1>AND(D9&gt;0,D9&gt;D10)</formula1>
    </dataValidation>
    <dataValidation type="list" allowBlank="1" showInputMessage="1" showErrorMessage="1" sqref="E6">
      <formula1>$C$120:$C$122</formula1>
    </dataValidation>
    <dataValidation type="decimal" showInputMessage="1" showErrorMessage="1" error="1 &lt;= Order &lt;= 50" sqref="D5">
      <formula1>1</formula1>
      <formula2>50</formula2>
    </dataValidation>
    <dataValidation type="decimal" showInputMessage="1" showErrorMessage="1" error="0.001 &lt;= Ripple &lt;= 10" sqref="D7">
      <formula1>0.001</formula1>
      <formula2>10</formula2>
    </dataValidation>
    <dataValidation type="decimal" operator="greaterThan" showInputMessage="1" showErrorMessage="1" error="Must be &gt; 0" sqref="D6">
      <formula1>0</formula1>
    </dataValidation>
  </dataValidations>
  <hyperlinks>
    <hyperlink ref="L3" r:id="rId1" tooltip="Click here to check for updates to this calculator" display="Click here to check for Updates"/>
    <hyperlink ref="H3" r:id="rId2" display="Click here for the online version (Butterworth)"/>
    <hyperlink ref="H4" r:id="rId3" display="Click here for the online version (Chebyshev)"/>
    <hyperlink ref="M23" location="Home!D7" tooltip="Click to return to title page with calculator list" display="Home"/>
  </hyperlinks>
  <printOptions/>
  <pageMargins left="0.5" right="0.5" top="0.5" bottom="0.5" header="0.5" footer="0.5"/>
  <pageSetup fitToHeight="1" fitToWidth="1" horizontalDpi="600" verticalDpi="600" orientation="portrait" scale="56" r:id="rId7"/>
  <drawing r:id="rId6"/>
  <legacyDrawing r:id="rId5"/>
</worksheet>
</file>

<file path=xl/worksheets/sheet9.xml><?xml version="1.0" encoding="utf-8"?>
<worksheet xmlns="http://schemas.openxmlformats.org/spreadsheetml/2006/main" xmlns:r="http://schemas.openxmlformats.org/officeDocument/2006/relationships">
  <dimension ref="B2:L24"/>
  <sheetViews>
    <sheetView showGridLines="0" showRowColHeaders="0" workbookViewId="0" topLeftCell="A1">
      <selection activeCell="D7" sqref="D7"/>
    </sheetView>
  </sheetViews>
  <sheetFormatPr defaultColWidth="9.140625" defaultRowHeight="12" zeroHeight="1"/>
  <cols>
    <col min="1" max="1" width="0.42578125" style="165" customWidth="1"/>
    <col min="2" max="2" width="0.85546875" style="165" customWidth="1"/>
    <col min="3" max="4" width="9.140625" style="165" customWidth="1"/>
    <col min="5" max="5" width="3.140625" style="165" customWidth="1"/>
    <col min="6" max="6" width="7.140625" style="165" customWidth="1"/>
    <col min="7" max="7" width="2.7109375" style="165" customWidth="1"/>
    <col min="8" max="11" width="9.140625" style="165" customWidth="1"/>
    <col min="12" max="12" width="0.85546875" style="165" customWidth="1"/>
    <col min="13" max="13" width="0.42578125" style="165" customWidth="1"/>
    <col min="14" max="16384" width="0" style="165" hidden="1" customWidth="1"/>
  </cols>
  <sheetData>
    <row r="1" ht="2.25" customHeight="1" thickBot="1"/>
    <row r="2" spans="2:12" ht="4.5" customHeight="1" thickTop="1">
      <c r="B2" s="297"/>
      <c r="C2" s="298"/>
      <c r="D2" s="298"/>
      <c r="E2" s="298"/>
      <c r="F2" s="298"/>
      <c r="G2" s="298"/>
      <c r="H2" s="298"/>
      <c r="I2" s="298"/>
      <c r="J2" s="298"/>
      <c r="K2" s="298"/>
      <c r="L2" s="299"/>
    </row>
    <row r="3" spans="2:12" ht="12" customHeight="1">
      <c r="B3" s="218"/>
      <c r="C3" s="494" t="s">
        <v>217</v>
      </c>
      <c r="D3" s="494"/>
      <c r="E3" s="494"/>
      <c r="F3" s="494"/>
      <c r="G3" s="494"/>
      <c r="H3" s="494"/>
      <c r="I3" s="494"/>
      <c r="J3" s="494"/>
      <c r="K3" s="494"/>
      <c r="L3" s="300"/>
    </row>
    <row r="4" spans="2:12" ht="12" customHeight="1">
      <c r="B4" s="218"/>
      <c r="C4" s="249" t="s">
        <v>131</v>
      </c>
      <c r="D4" s="301"/>
      <c r="E4" s="301"/>
      <c r="F4" s="301"/>
      <c r="G4" s="301"/>
      <c r="H4" s="301"/>
      <c r="I4" s="301"/>
      <c r="J4" s="301"/>
      <c r="K4" s="248" t="s">
        <v>132</v>
      </c>
      <c r="L4" s="300"/>
    </row>
    <row r="5" spans="2:12" ht="12" customHeight="1">
      <c r="B5" s="218"/>
      <c r="C5" s="155"/>
      <c r="D5" s="155"/>
      <c r="E5" s="155"/>
      <c r="F5" s="155"/>
      <c r="G5" s="155"/>
      <c r="H5" s="155"/>
      <c r="I5" s="155"/>
      <c r="J5" s="155"/>
      <c r="K5" s="155"/>
      <c r="L5" s="296"/>
    </row>
    <row r="6" spans="2:12" ht="12" customHeight="1">
      <c r="B6" s="218"/>
      <c r="C6" s="508" t="s">
        <v>208</v>
      </c>
      <c r="D6" s="509"/>
      <c r="E6" s="305"/>
      <c r="F6" s="510" t="s">
        <v>209</v>
      </c>
      <c r="G6" s="306"/>
      <c r="H6" s="511" t="s">
        <v>210</v>
      </c>
      <c r="I6" s="512"/>
      <c r="J6" s="512"/>
      <c r="K6" s="513"/>
      <c r="L6" s="296"/>
    </row>
    <row r="7" spans="2:12" ht="12" customHeight="1">
      <c r="B7" s="218"/>
      <c r="C7" s="307" t="s">
        <v>211</v>
      </c>
      <c r="D7" s="324">
        <v>950</v>
      </c>
      <c r="E7" s="308" t="s">
        <v>212</v>
      </c>
      <c r="F7" s="510"/>
      <c r="G7" s="309" t="s">
        <v>212</v>
      </c>
      <c r="H7" s="310"/>
      <c r="I7" s="311" t="s">
        <v>218</v>
      </c>
      <c r="J7" s="312" t="s">
        <v>211</v>
      </c>
      <c r="K7" s="313">
        <f>E11+D7</f>
        <v>1750</v>
      </c>
      <c r="L7" s="296"/>
    </row>
    <row r="8" spans="2:12" ht="12" customHeight="1">
      <c r="B8" s="218"/>
      <c r="C8" s="314" t="s">
        <v>213</v>
      </c>
      <c r="D8" s="324">
        <v>900</v>
      </c>
      <c r="E8" s="305"/>
      <c r="F8" s="510"/>
      <c r="G8" s="315"/>
      <c r="J8" s="314" t="s">
        <v>213</v>
      </c>
      <c r="K8" s="313">
        <f>E11+D8</f>
        <v>1700</v>
      </c>
      <c r="L8" s="296"/>
    </row>
    <row r="9" spans="2:12" ht="12" customHeight="1">
      <c r="B9" s="218"/>
      <c r="C9" s="507">
        <f>IF(D7&lt;D8,"↑ Check Frequencies ↑ ","")</f>
      </c>
      <c r="D9" s="507"/>
      <c r="E9" s="305"/>
      <c r="F9" s="316" t="s">
        <v>214</v>
      </c>
      <c r="G9" s="317"/>
      <c r="H9" s="310"/>
      <c r="I9" s="311" t="s">
        <v>219</v>
      </c>
      <c r="J9" s="312" t="s">
        <v>211</v>
      </c>
      <c r="K9" s="313">
        <f>IF(ABS(E11-D7)&gt;ABS(E11-D8),ABS(E11-D7),ABS(E11-D8))</f>
        <v>150</v>
      </c>
      <c r="L9" s="296"/>
    </row>
    <row r="10" spans="2:12" ht="12" customHeight="1">
      <c r="B10" s="218"/>
      <c r="C10" s="318" t="s">
        <v>215</v>
      </c>
      <c r="D10" s="301"/>
      <c r="E10" s="480" t="s">
        <v>216</v>
      </c>
      <c r="F10" s="502"/>
      <c r="G10" s="503"/>
      <c r="H10" s="301"/>
      <c r="I10" s="301"/>
      <c r="J10" s="314" t="s">
        <v>213</v>
      </c>
      <c r="K10" s="313">
        <f>IF(ABS(E11-D8)&lt;ABS(E11-D7),ABS(E11-D8),ABS(E11-D7))</f>
        <v>100</v>
      </c>
      <c r="L10" s="296"/>
    </row>
    <row r="11" spans="2:12" ht="12" customHeight="1">
      <c r="B11" s="218"/>
      <c r="C11" s="324" t="s">
        <v>37</v>
      </c>
      <c r="D11" s="301"/>
      <c r="E11" s="504">
        <v>800</v>
      </c>
      <c r="F11" s="505"/>
      <c r="G11" s="506"/>
      <c r="H11" s="319"/>
      <c r="I11" s="319"/>
      <c r="J11" s="319"/>
      <c r="K11" s="319"/>
      <c r="L11" s="296"/>
    </row>
    <row r="12" spans="2:12" ht="3.75" customHeight="1">
      <c r="B12" s="218"/>
      <c r="C12" s="305"/>
      <c r="D12" s="305"/>
      <c r="E12" s="305"/>
      <c r="F12" s="305"/>
      <c r="G12" s="305"/>
      <c r="H12" s="305"/>
      <c r="I12" s="305"/>
      <c r="J12" s="305"/>
      <c r="K12" s="305"/>
      <c r="L12" s="296"/>
    </row>
    <row r="13" spans="2:12" ht="12" customHeight="1">
      <c r="B13" s="218"/>
      <c r="C13" s="305"/>
      <c r="D13" s="305"/>
      <c r="E13" s="305"/>
      <c r="F13" s="320">
        <f>IF(ABS(E11-D8)&gt;ABS(E11-D7),"Frequency Inversion","")</f>
      </c>
      <c r="G13" s="321"/>
      <c r="H13" s="322"/>
      <c r="I13" s="322"/>
      <c r="J13" s="322"/>
      <c r="K13" s="322"/>
      <c r="L13" s="296"/>
    </row>
    <row r="14" spans="2:12" ht="12" customHeight="1">
      <c r="B14" s="218"/>
      <c r="C14" s="305"/>
      <c r="D14" s="305"/>
      <c r="E14" s="305"/>
      <c r="F14" s="323">
        <f>IF(AND(E11&gt;D8,E11&lt;D7),"Inband LO will cause DC component","")</f>
      </c>
      <c r="G14" s="321"/>
      <c r="H14" s="305"/>
      <c r="I14" s="305"/>
      <c r="J14" s="305"/>
      <c r="K14" s="305"/>
      <c r="L14" s="296"/>
    </row>
    <row r="15" spans="2:12" ht="12">
      <c r="B15" s="218"/>
      <c r="C15" s="305"/>
      <c r="D15" s="305"/>
      <c r="E15" s="305"/>
      <c r="F15" s="323">
        <f>IF(AND(E11&gt;D8,E11&lt;D7),"and frequency folding","")</f>
      </c>
      <c r="G15" s="321"/>
      <c r="H15" s="301"/>
      <c r="I15" s="301"/>
      <c r="J15" s="301"/>
      <c r="K15" s="420" t="s">
        <v>197</v>
      </c>
      <c r="L15" s="296"/>
    </row>
    <row r="16" spans="2:12" ht="4.5" customHeight="1" thickBot="1">
      <c r="B16" s="302"/>
      <c r="C16" s="303"/>
      <c r="D16" s="303"/>
      <c r="E16" s="303"/>
      <c r="F16" s="303"/>
      <c r="G16" s="303"/>
      <c r="H16" s="303"/>
      <c r="I16" s="303"/>
      <c r="J16" s="303"/>
      <c r="K16" s="303"/>
      <c r="L16" s="304"/>
    </row>
    <row r="17" ht="2.25" customHeight="1" thickTop="1"/>
    <row r="18" ht="12" hidden="1"/>
    <row r="19" ht="12" hidden="1"/>
    <row r="20" ht="12" hidden="1"/>
    <row r="21" ht="12" hidden="1">
      <c r="C21" s="165" t="s">
        <v>46</v>
      </c>
    </row>
    <row r="22" ht="12" hidden="1">
      <c r="C22" s="165" t="s">
        <v>37</v>
      </c>
    </row>
    <row r="23" ht="12" hidden="1">
      <c r="C23" s="165" t="s">
        <v>47</v>
      </c>
    </row>
    <row r="24" ht="12" hidden="1">
      <c r="C24" s="165" t="s">
        <v>65</v>
      </c>
    </row>
  </sheetData>
  <sheetProtection password="F39F" sheet="1" objects="1" scenarios="1"/>
  <mergeCells count="7">
    <mergeCell ref="E10:G10"/>
    <mergeCell ref="E11:G11"/>
    <mergeCell ref="C9:D9"/>
    <mergeCell ref="C3:K3"/>
    <mergeCell ref="C6:D6"/>
    <mergeCell ref="F6:F8"/>
    <mergeCell ref="H6:K6"/>
  </mergeCells>
  <dataValidations count="1">
    <dataValidation type="list" allowBlank="1" showInputMessage="1" showErrorMessage="1" sqref="C11">
      <formula1>$C$21:$C$24</formula1>
    </dataValidation>
  </dataValidations>
  <hyperlinks>
    <hyperlink ref="C4" r:id="rId1" display="Click here for the online version"/>
    <hyperlink ref="K4" r:id="rId2" tooltip="Click here to check for updates to this calculator" display="Click here to check for Updates"/>
    <hyperlink ref="K15" location="Home!D7" tooltip="Click to return to title page with calculator list" display="Home"/>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 Cafe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 Cafe Calculator Workbook</dc:title>
  <dc:subject/>
  <dc:creator>Kirt Blattenberger</dc:creator>
  <cp:keywords/>
  <dc:description>Unlocked version available.</dc:description>
  <cp:lastModifiedBy>Mike</cp:lastModifiedBy>
  <cp:lastPrinted>2006-04-27T18:58:21Z</cp:lastPrinted>
  <dcterms:created xsi:type="dcterms:W3CDTF">2005-09-05T16:11:06Z</dcterms:created>
  <dcterms:modified xsi:type="dcterms:W3CDTF">2017-05-30T07:18:27Z</dcterms:modified>
  <cp:category/>
  <cp:version/>
  <cp:contentType/>
  <cp:contentStatus/>
</cp:coreProperties>
</file>